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rum för rum" sheetId="1" state="visible" r:id="rId2"/>
    <sheet name="Lamdavärden" sheetId="2" state="visible" r:id="rId3"/>
    <sheet name="Månads HDD 17grade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<sst xmlns="http://schemas.openxmlformats.org/spreadsheetml/2006/main" count="161" uniqueCount="146">
  <si>
    <t xml:space="preserve">Detalj</t>
  </si>
  <si>
    <t xml:space="preserve">Trä, träfiber tot mm</t>
  </si>
  <si>
    <t xml:space="preserve">Treetex</t>
  </si>
  <si>
    <t xml:space="preserve">Stenull</t>
  </si>
  <si>
    <t xml:space="preserve">Packad sågspån</t>
  </si>
  <si>
    <t xml:space="preserve">gips</t>
  </si>
  <si>
    <t xml:space="preserve">Jord</t>
  </si>
  <si>
    <t xml:space="preserve">betong</t>
  </si>
  <si>
    <t xml:space="preserve">Lecablock</t>
  </si>
  <si>
    <t xml:space="preserve">Stillastående luft</t>
  </si>
  <si>
    <t xml:space="preserve">Glas-ruta</t>
  </si>
  <si>
    <t xml:space="preserve">Energi-glas</t>
  </si>
  <si>
    <t xml:space="preserve">Summa R= summa (d/λvärde)</t>
  </si>
  <si>
    <t xml:space="preserve">Beräknat u-värde W/m2,K</t>
  </si>
  <si>
    <t xml:space="preserve">sätt själv U-värde W/m2,K</t>
  </si>
  <si>
    <t xml:space="preserve">MedKöld-bryggor</t>
  </si>
  <si>
    <t xml:space="preserve">bredd m</t>
  </si>
  <si>
    <t xml:space="preserve">längd/ höjd m</t>
  </si>
  <si>
    <t xml:space="preserve">brutto yta m²</t>
  </si>
  <si>
    <t xml:space="preserve">Netto Yta m² x4</t>
  </si>
  <si>
    <t xml:space="preserve">UxYta W/°C
</t>
  </si>
  <si>
    <t xml:space="preserve">temp insida °C
</t>
  </si>
  <si>
    <t xml:space="preserve">temp utsida °C</t>
  </si>
  <si>
    <t xml:space="preserve">Tempdiff °K</t>
  </si>
  <si>
    <t xml:space="preserve">Effekt behov W</t>
  </si>
  <si>
    <t xml:space="preserve">Årsbehov kWh brutto</t>
  </si>
  <si>
    <t xml:space="preserve">Årsbehov kWh inkl ventilation</t>
  </si>
  <si>
    <t xml:space="preserve">Hushållsel kWh/år</t>
  </si>
  <si>
    <t xml:space="preserve">Varmvatten kWh/år</t>
  </si>
  <si>
    <t xml:space="preserve">2personer kWh/år</t>
  </si>
  <si>
    <t xml:space="preserve">Netto Värmepump</t>
  </si>
  <si>
    <t xml:space="preserve">Alla rum värmda</t>
  </si>
  <si>
    <t xml:space="preserve">Sänk sovrumstemp</t>
  </si>
  <si>
    <t xml:space="preserve">Besparing sänkt sovrumstemp</t>
  </si>
  <si>
    <t xml:space="preserve">Isolera källartak</t>
  </si>
  <si>
    <t xml:space="preserve">Isolera källartak besparing</t>
  </si>
  <si>
    <t xml:space="preserve">Total/simulering rött</t>
  </si>
  <si>
    <t xml:space="preserve">λ – värde, temp, självdrag</t>
  </si>
  <si>
    <t xml:space="preserve">Kostar inget</t>
  </si>
  <si>
    <t xml:space="preserve">kostar 247kr/m2=&gt;52m2</t>
  </si>
  <si>
    <t xml:space="preserve">Övervåning 4 sovrum</t>
  </si>
  <si>
    <t xml:space="preserve">Tak 380 mm glasull</t>
  </si>
  <si>
    <t xml:space="preserve">Gavel Väggar isolerade 3”plank+95mm glasull+17mmträ+13mm gips</t>
  </si>
  <si>
    <t xml:space="preserve">TakVäggar isolerade</t>
  </si>
  <si>
    <t xml:space="preserve">Fönster enkelglas 2mm+100mm luft+innanfönster 3mm+ 4mm energiglas</t>
  </si>
  <si>
    <t xml:space="preserve">Hallar över- o bottenvån</t>
  </si>
  <si>
    <t xml:space="preserve">Golv Hall laminat 8mm brädor 22mm isolering 100mm sågspån källartak 13mm</t>
  </si>
  <si>
    <t xml:space="preserve">Golv WC kakel, spånskiva 22 isolering 200</t>
  </si>
  <si>
    <t xml:space="preserve">Sovrum bv</t>
  </si>
  <si>
    <t xml:space="preserve">YtterVäggar isolerade 3”plank+95mm glasull+17mmträ+13mm gips</t>
  </si>
  <si>
    <t xml:space="preserve">Golv parkett 15mm brädor 22mm isolering 100mm sågspån källartak 13mm</t>
  </si>
  <si>
    <t xml:space="preserve">Badrum</t>
  </si>
  <si>
    <t xml:space="preserve">Golv klinker 7mm gips 26mm spånskivor 22mm Alplåt glespanel 22mm isolering 1800mm källartak 13mm</t>
  </si>
  <si>
    <t xml:space="preserve">Kök</t>
  </si>
  <si>
    <t xml:space="preserve">YtterVäggar oisolerade 3”plank17mmträ gips</t>
  </si>
  <si>
    <t xml:space="preserve">Golv linoliummatta spånskivor 22mm  isolering 200mm källartak 13mm</t>
  </si>
  <si>
    <t xml:space="preserve">V-rum bv</t>
  </si>
  <si>
    <t xml:space="preserve">Golv Laminat 8mm brädor 22mm isolering 100mm sågspån källartak 13mm</t>
  </si>
  <si>
    <t xml:space="preserve">Farstu</t>
  </si>
  <si>
    <t xml:space="preserve">Väggar isolerade</t>
  </si>
  <si>
    <t xml:space="preserve">Fönster</t>
  </si>
  <si>
    <t xml:space="preserve">tak</t>
  </si>
  <si>
    <t xml:space="preserve">golv</t>
  </si>
  <si>
    <t xml:space="preserve">Dörr</t>
  </si>
  <si>
    <t xml:space="preserve">Tillbyggnad</t>
  </si>
  <si>
    <t xml:space="preserve">Fönsternischer</t>
  </si>
  <si>
    <t xml:space="preserve">Fönster stora</t>
  </si>
  <si>
    <t xml:space="preserve">Fönster små</t>
  </si>
  <si>
    <t xml:space="preserve">Golv</t>
  </si>
  <si>
    <t xml:space="preserve">U-värde för några material</t>
  </si>
  <si>
    <t xml:space="preserve">Material</t>
  </si>
  <si>
    <t xml:space="preserve">Tjocklek </t>
  </si>
  <si>
    <t xml:space="preserve">Värmeledningstal </t>
  </si>
  <si>
    <t xml:space="preserve">U-värde 200mm</t>
  </si>
  <si>
    <t xml:space="preserve"> </t>
  </si>
  <si>
    <t xml:space="preserve">mm </t>
  </si>
  <si>
    <t xml:space="preserve">W/m,°C </t>
  </si>
  <si>
    <t xml:space="preserve">W/m²,°C </t>
  </si>
  <si>
    <t xml:space="preserve">tegel</t>
  </si>
  <si>
    <t xml:space="preserve">trä</t>
  </si>
  <si>
    <t xml:space="preserve">mineralull</t>
  </si>
  <si>
    <t xml:space="preserve">2-glasfönster</t>
  </si>
  <si>
    <t xml:space="preserve">- </t>
  </si>
  <si>
    <t xml:space="preserve">3-glasfönster</t>
  </si>
  <si>
    <t xml:space="preserve">λ - värde</t>
  </si>
  <si>
    <t xml:space="preserve">Skriv in tjocklek mm</t>
  </si>
  <si>
    <t xml:space="preserve">U-värde </t>
  </si>
  <si>
    <t xml:space="preserve">U=1/R=lamda/d</t>
  </si>
  <si>
    <t xml:space="preserve">R tot= summa R i</t>
  </si>
  <si>
    <t xml:space="preserve">Läs mera här: http://www.swedisol.se/sites/default/files/undersidor/filer/pdf_bilaga_A.pdf</t>
  </si>
  <si>
    <t xml:space="preserve">Mineralull</t>
  </si>
  <si>
    <t xml:space="preserve">Trä</t>
  </si>
  <si>
    <t xml:space="preserve">Betong</t>
  </si>
  <si>
    <t xml:space="preserve">Tegel</t>
  </si>
  <si>
    <t xml:space="preserve">Gipsskiva</t>
  </si>
  <si>
    <t xml:space="preserve">Golvspånskiva</t>
  </si>
  <si>
    <t xml:space="preserve">Stål</t>
  </si>
  <si>
    <t xml:space="preserve">Puts</t>
  </si>
  <si>
    <t xml:space="preserve">Cellplast</t>
  </si>
  <si>
    <t xml:space="preserve">Plywood</t>
  </si>
  <si>
    <t xml:space="preserve">Lättbetong</t>
  </si>
  <si>
    <t xml:space="preserve">Spånskiva</t>
  </si>
  <si>
    <t xml:space="preserve">Träfiberskiva</t>
  </si>
  <si>
    <t xml:space="preserve">Rostfritt stål</t>
  </si>
  <si>
    <t xml:space="preserve">Fasadtegel</t>
  </si>
  <si>
    <t xml:space="preserve">Luft</t>
  </si>
  <si>
    <t xml:space="preserve">packad sågspån</t>
  </si>
  <si>
    <t xml:space="preserve">Lera, silt, dränerad sand och grus</t>
  </si>
  <si>
    <t xml:space="preserve">Morän, icke dränerad sand och grus 2,0</t>
  </si>
  <si>
    <t xml:space="preserve">frigolit</t>
  </si>
  <si>
    <t xml:space="preserve"> Berg 3,5 </t>
  </si>
  <si>
    <t xml:space="preserve">lecablock</t>
  </si>
  <si>
    <t xml:space="preserve">Tabell 1 Olika isoleringsmaterial och deras ungefärliga lambdavärde. </t>
  </si>
  <si>
    <t xml:space="preserve">MATERIAL </t>
  </si>
  <si>
    <t xml:space="preserve">λ-värden [W/mK] </t>
  </si>
  <si>
    <t xml:space="preserve">tretex </t>
  </si>
  <si>
    <t xml:space="preserve">hampa </t>
  </si>
  <si>
    <t xml:space="preserve">cellulosafiber </t>
  </si>
  <si>
    <t xml:space="preserve">mineralull </t>
  </si>
  <si>
    <t xml:space="preserve">lin </t>
  </si>
  <si>
    <t xml:space="preserve">EPS (cellplast) </t>
  </si>
  <si>
    <t xml:space="preserve">PUR (polyuretan-) </t>
  </si>
  <si>
    <t xml:space="preserve">PIR (polyisocyanurat-) </t>
  </si>
  <si>
    <t xml:space="preserve">aerogel </t>
  </si>
  <si>
    <t xml:space="preserve">VIP (vakuumisolering) </t>
  </si>
  <si>
    <t xml:space="preserve">HDD bastemp 17grader station Nordkoster månadsvis per år</t>
  </si>
  <si>
    <t xml:space="preserve">Date</t>
  </si>
  <si>
    <t xml:space="preserve">HDD</t>
  </si>
  <si>
    <t xml:space="preserve">Month starting</t>
  </si>
  <si>
    <t xml:space="preserve">2004</t>
  </si>
  <si>
    <t xml:space="preserve">medelvärde</t>
  </si>
  <si>
    <t xml:space="preserve">medeltemp</t>
  </si>
  <si>
    <t xml:space="preserve">jan</t>
  </si>
  <si>
    <t xml:space="preserve">feb</t>
  </si>
  <si>
    <t xml:space="preserve">mar</t>
  </si>
  <si>
    <t xml:space="preserve">apr</t>
  </si>
  <si>
    <t xml:space="preserve">maj</t>
  </si>
  <si>
    <t xml:space="preserve">jun</t>
  </si>
  <si>
    <t xml:space="preserve">jul</t>
  </si>
  <si>
    <t xml:space="preserve">aug</t>
  </si>
  <si>
    <t xml:space="preserve">sep</t>
  </si>
  <si>
    <t xml:space="preserve">okt</t>
  </si>
  <si>
    <t xml:space="preserve">nov</t>
  </si>
  <si>
    <t xml:space="preserve">dec</t>
  </si>
  <si>
    <t xml:space="preserve">Summa år</t>
  </si>
  <si>
    <t xml:space="preserve">Medeltemp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</si>
</sst>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.000"/>
    <numFmt numFmtId="166" formatCode="0.0"/>
    <numFmt numFmtId="167" formatCode="0"/>
    <numFmt numFmtId="168" formatCode="#,##0"/>
    <numFmt numFmtId="169" formatCode="0.00%"/>
    <numFmt numFmtId="170" formatCode="#,##0.00\ [$kr-41D];[RED]\-#,##0.00\ [$kr-41D]"/>
    <numFmt numFmtId="171" formatCode="0.00"/>
    <numFmt numFmtId="172" formatCode="#,##0.0"/>
    <numFmt numFmtId="173" formatCode="@"/>
    <numFmt numFmtId="174" formatCode="YYYY/MM/DD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3333FF"/>
      <name val="Arial"/>
      <family val="2"/>
      <charset val="1"/>
    </font>
    <font>
      <b val="true"/>
      <sz val="15"/>
      <name val="Arial"/>
      <family val="2"/>
      <charset val="1"/>
    </font>
    <font>
      <b val="true"/>
      <sz val="15"/>
      <color rgb="FFFF3333"/>
      <name val="Arial"/>
      <family val="2"/>
      <charset val="1"/>
    </font>
    <font>
      <b val="true"/>
      <sz val="15"/>
      <color rgb="FF3333FF"/>
      <name val="Arial"/>
      <family val="2"/>
      <charset val="1"/>
    </font>
    <font>
      <sz val="15"/>
      <name val="Arial"/>
      <family val="2"/>
      <charset val="1"/>
    </font>
    <font>
      <sz val="10"/>
      <color rgb="FFFF3333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8" fontId="6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1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2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2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2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2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3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://www.swedisol.se/sites/default/files/undersidor/filer/pdf_bilaga_A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26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pane xSplit="1" ySplit="3" topLeftCell="AA4" activePane="bottomRight" state="frozen"/>
      <selection pane="topLeft" activeCell="A1" activeCellId="0" sqref="A1"/>
      <selection pane="topRight" activeCell="AA1" activeCellId="0" sqref="AA1"/>
      <selection pane="bottomLeft" activeCell="A4" activeCellId="0" sqref="A4"/>
      <selection pane="bottomRight" activeCell="AJ5" activeCellId="0" sqref="AJ5"/>
    </sheetView>
  </sheetViews>
  <sheetFormatPr defaultRowHeight="12.8"/>
  <cols>
    <col collapsed="false" hidden="false" max="1" min="1" style="1" width="27.2959183673469"/>
    <col collapsed="false" hidden="false" max="2" min="2" style="2" width="6.30612244897959"/>
    <col collapsed="false" hidden="false" max="4" min="3" style="2" width="7.22448979591837"/>
    <col collapsed="false" hidden="false" max="6" min="5" style="2" width="6.30612244897959"/>
    <col collapsed="false" hidden="false" max="8" min="7" style="2" width="5.27551020408163"/>
    <col collapsed="false" hidden="false" max="9" min="9" style="2" width="6.30612244897959"/>
    <col collapsed="false" hidden="false" max="10" min="10" style="2" width="7.22448979591837"/>
    <col collapsed="false" hidden="false" max="11" min="11" style="2" width="6.19387755102041"/>
    <col collapsed="false" hidden="false" max="12" min="12" style="2" width="6.6530612244898"/>
    <col collapsed="false" hidden="false" max="13" min="13" style="2" width="10.3214285714286"/>
    <col collapsed="false" hidden="false" max="14" min="14" style="2" width="8.70918367346939"/>
    <col collapsed="false" hidden="false" max="15" min="15" style="3" width="7.68367346938776"/>
    <col collapsed="false" hidden="false" max="16" min="16" style="3" width="12.3928571428571"/>
    <col collapsed="false" hidden="false" max="17" min="17" style="3" width="6.88265306122449"/>
    <col collapsed="false" hidden="false" max="18" min="18" style="3" width="6.30612244897959"/>
    <col collapsed="false" hidden="false" max="19" min="19" style="3" width="7.22448979591837"/>
    <col collapsed="false" hidden="false" max="20" min="20" style="2" width="8.48469387755102"/>
    <col collapsed="false" hidden="false" max="21" min="21" style="2" width="7.34183673469388"/>
    <col collapsed="false" hidden="false" max="22" min="22" style="2" width="14.4540816326531"/>
    <col collapsed="false" hidden="false" max="23" min="23" style="2" width="6.76530612244898"/>
    <col collapsed="false" hidden="false" max="24" min="24" style="2" width="8.8265306122449"/>
    <col collapsed="false" hidden="false" max="25" min="25" style="2" width="8.94387755102041"/>
    <col collapsed="false" hidden="false" max="26" min="26" style="0" width="11.2397959183673"/>
    <col collapsed="false" hidden="false" max="30" min="27" style="0" width="10.5459183673469"/>
    <col collapsed="false" hidden="false" max="32" min="31" style="0" width="11.5816326530612"/>
    <col collapsed="false" hidden="false" max="33" min="33" style="0" width="11.9234693877551"/>
    <col collapsed="false" hidden="false" max="34" min="34" style="0" width="11.5816326530612"/>
  </cols>
  <sheetData>
    <row r="1" s="5" customFormat="true" ht="46.25" hidden="false" customHeight="true" outlineLevel="0" collapsed="false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7" t="s">
        <v>21</v>
      </c>
      <c r="W1" s="7" t="s">
        <v>22</v>
      </c>
      <c r="X1" s="7" t="s">
        <v>23</v>
      </c>
      <c r="Y1" s="8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LY1" s="10"/>
      <c r="ALZ1" s="10"/>
      <c r="AMA1" s="10"/>
      <c r="AMB1" s="10"/>
      <c r="AMC1" s="0"/>
      <c r="AMD1" s="0"/>
      <c r="AME1" s="0"/>
      <c r="AMF1" s="0"/>
      <c r="AMG1" s="0"/>
      <c r="AMH1" s="0"/>
      <c r="AMI1" s="0"/>
      <c r="AMJ1" s="0"/>
    </row>
    <row r="2" s="12" customFormat="true" ht="35.8" hidden="false" customHeight="false" outlineLevel="0" collapsed="false">
      <c r="A2" s="11" t="s">
        <v>36</v>
      </c>
      <c r="D2" s="13" t="n">
        <v>195</v>
      </c>
      <c r="E2" s="13" t="n">
        <v>0</v>
      </c>
      <c r="V2" s="13" t="n">
        <v>6</v>
      </c>
      <c r="Y2" s="14" t="n">
        <f aca="false">SUM(Y4:Y42)</f>
        <v>-1863.34156097236</v>
      </c>
      <c r="Z2" s="14" t="n">
        <f aca="false">SUM(Z4:Z42)</f>
        <v>-16322.8720741178</v>
      </c>
      <c r="AA2" s="14" t="n">
        <f aca="false">SUM(AA4:AA42)</f>
        <v>-19179.3746870885</v>
      </c>
      <c r="AB2" s="12" t="n">
        <v>4000</v>
      </c>
      <c r="AC2" s="12" t="n">
        <v>1200</v>
      </c>
      <c r="AD2" s="12" t="n">
        <f aca="false">2*100*365*24/1000</f>
        <v>1752</v>
      </c>
      <c r="AE2" s="13" t="n">
        <f aca="false">(AA2+AB2-AC2+AC2)/3.5</f>
        <v>-4336.96419631099</v>
      </c>
      <c r="AF2" s="15" t="n">
        <v>-5600</v>
      </c>
      <c r="AG2" s="15" t="n">
        <v>-5057</v>
      </c>
      <c r="AH2" s="15" t="n">
        <f aca="false">AG2-AF2</f>
        <v>543</v>
      </c>
      <c r="AI2" s="15" t="n">
        <v>-4337</v>
      </c>
      <c r="AJ2" s="15" t="n">
        <f aca="false">AI2-AG2</f>
        <v>720</v>
      </c>
      <c r="ALY2" s="16"/>
      <c r="ALZ2" s="16"/>
      <c r="AMA2" s="16"/>
      <c r="AMB2" s="16"/>
      <c r="AMC2" s="17"/>
      <c r="AMD2" s="17"/>
      <c r="AME2" s="17"/>
      <c r="AMF2" s="17"/>
      <c r="AMG2" s="17"/>
      <c r="AMH2" s="17"/>
      <c r="AMI2" s="17"/>
      <c r="AMJ2" s="17"/>
    </row>
    <row r="3" customFormat="false" ht="12.8" hidden="false" customHeight="false" outlineLevel="0" collapsed="false">
      <c r="A3" s="18" t="s">
        <v>37</v>
      </c>
      <c r="B3" s="19" t="n">
        <v>0.14</v>
      </c>
      <c r="C3" s="19" t="n">
        <v>0.05</v>
      </c>
      <c r="D3" s="19" t="n">
        <v>0.038</v>
      </c>
      <c r="E3" s="19" t="n">
        <v>0.06</v>
      </c>
      <c r="F3" s="19" t="n">
        <v>0.25</v>
      </c>
      <c r="G3" s="19" t="n">
        <v>2</v>
      </c>
      <c r="H3" s="19" t="n">
        <v>1.7</v>
      </c>
      <c r="I3" s="19" t="n">
        <v>0.12</v>
      </c>
      <c r="J3" s="19" t="n">
        <v>0.026</v>
      </c>
      <c r="K3" s="19" t="n">
        <v>0.011</v>
      </c>
      <c r="L3" s="19" t="n">
        <v>0.0156</v>
      </c>
      <c r="M3" s="20"/>
      <c r="N3" s="20"/>
      <c r="O3" s="20"/>
      <c r="P3" s="21" t="n">
        <v>0.15</v>
      </c>
      <c r="Q3" s="0"/>
      <c r="R3" s="0"/>
      <c r="S3" s="0"/>
      <c r="T3" s="0"/>
      <c r="U3" s="0"/>
      <c r="V3" s="22" t="n">
        <v>21</v>
      </c>
      <c r="W3" s="22" t="n">
        <v>8</v>
      </c>
      <c r="X3" s="22"/>
      <c r="Y3" s="23"/>
      <c r="Z3" s="0" t="n">
        <f aca="false">+365*24</f>
        <v>8760</v>
      </c>
      <c r="AA3" s="24" t="n">
        <v>0.175</v>
      </c>
      <c r="AH3" s="0" t="s">
        <v>38</v>
      </c>
      <c r="AJ3" s="0" t="s">
        <v>39</v>
      </c>
    </row>
    <row r="4" s="19" customFormat="true" ht="12.8" hidden="false" customHeight="false" outlineLevel="0" collapsed="false">
      <c r="A4" s="18" t="s">
        <v>40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25"/>
      <c r="N4" s="26"/>
      <c r="O4" s="27"/>
      <c r="P4" s="27"/>
      <c r="Q4" s="28"/>
      <c r="R4" s="28"/>
      <c r="S4" s="28"/>
      <c r="T4" s="28"/>
      <c r="U4" s="28"/>
      <c r="V4" s="29"/>
      <c r="W4" s="29"/>
      <c r="X4" s="29"/>
      <c r="Y4" s="30"/>
      <c r="AJ4" s="31" t="n">
        <f aca="false">247/2.64*52*(500-75)/500</f>
        <v>4135.37878787879</v>
      </c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8" hidden="false" customHeight="false" outlineLevel="0" collapsed="false">
      <c r="A5" s="32" t="s">
        <v>41</v>
      </c>
      <c r="B5" s="32" t="n">
        <v>17</v>
      </c>
      <c r="C5" s="32"/>
      <c r="D5" s="32" t="n">
        <f aca="false">4*95</f>
        <v>380</v>
      </c>
      <c r="E5" s="32"/>
      <c r="F5" s="32"/>
      <c r="G5" s="32"/>
      <c r="H5" s="32"/>
      <c r="I5" s="32"/>
      <c r="J5" s="32"/>
      <c r="K5" s="32"/>
      <c r="L5" s="32"/>
      <c r="M5" s="25" t="n">
        <f aca="false">+(B5/B$3+C5/C$3+D5/D$3+E5/E$3+F5/F$3+G5/G$3+H5/H$3+I5/I$3+J5/J$3+K5/K$3+L5/L$3)/1000</f>
        <v>10.1214285714286</v>
      </c>
      <c r="N5" s="25" t="n">
        <f aca="false">+1/M5</f>
        <v>0.0988002822865208</v>
      </c>
      <c r="O5" s="33" t="n">
        <f aca="false">+N5</f>
        <v>0.0988002822865208</v>
      </c>
      <c r="P5" s="33" t="n">
        <v>1</v>
      </c>
      <c r="Q5" s="34" t="n">
        <v>3.3</v>
      </c>
      <c r="R5" s="34" t="n">
        <v>3.5</v>
      </c>
      <c r="S5" s="34" t="n">
        <f aca="false">+Q5*R5</f>
        <v>11.55</v>
      </c>
      <c r="T5" s="34" t="n">
        <f aca="false">4*S5</f>
        <v>46.2</v>
      </c>
      <c r="U5" s="35" t="n">
        <f aca="false">+O5*P5*T5</f>
        <v>4.56457304163726</v>
      </c>
      <c r="V5" s="36" t="n">
        <f aca="false">V$3-V$2</f>
        <v>15</v>
      </c>
      <c r="W5" s="37" t="n">
        <f aca="false">+$W$3</f>
        <v>8</v>
      </c>
      <c r="X5" s="37" t="n">
        <f aca="false">+W5-V5</f>
        <v>-7</v>
      </c>
      <c r="Y5" s="38" t="n">
        <f aca="false">U5*X5</f>
        <v>-31.9520112914608</v>
      </c>
      <c r="Z5" s="39" t="n">
        <f aca="false">$Z$3*Y5/1000</f>
        <v>-279.899618913197</v>
      </c>
      <c r="AA5" s="40" t="n">
        <f aca="false">(1+AA$3)*Z5</f>
        <v>-328.882052223006</v>
      </c>
      <c r="AJ5" s="40" t="n">
        <f aca="false">AJ4/AJ2</f>
        <v>5.74358164983165</v>
      </c>
    </row>
    <row r="6" s="41" customFormat="true" ht="35.35" hidden="false" customHeight="false" outlineLevel="0" collapsed="false">
      <c r="A6" s="32" t="s">
        <v>42</v>
      </c>
      <c r="B6" s="32" t="n">
        <f aca="false">+75+15</f>
        <v>90</v>
      </c>
      <c r="C6" s="32" t="n">
        <v>12.7</v>
      </c>
      <c r="D6" s="32" t="n">
        <v>95</v>
      </c>
      <c r="E6" s="32"/>
      <c r="F6" s="32" t="n">
        <v>13</v>
      </c>
      <c r="G6" s="32"/>
      <c r="H6" s="32"/>
      <c r="I6" s="32"/>
      <c r="J6" s="32"/>
      <c r="K6" s="32"/>
      <c r="L6" s="32"/>
      <c r="M6" s="25" t="n">
        <f aca="false">+(B6/B$3+C6/C$3+D6/D$3+E6/E$3+F6/F$3+G6/G$3+H6/H$3+I6/I$3+J6/J$3+K6/K$3+L6/L$3)/1000</f>
        <v>3.44885714285714</v>
      </c>
      <c r="N6" s="25" t="n">
        <f aca="false">+1/M6</f>
        <v>0.28995112252506</v>
      </c>
      <c r="O6" s="33" t="n">
        <f aca="false">+N6</f>
        <v>0.28995112252506</v>
      </c>
      <c r="P6" s="33" t="n">
        <f aca="false">1+P3</f>
        <v>1.15</v>
      </c>
      <c r="Q6" s="34" t="n">
        <f aca="false">3.3</f>
        <v>3.3</v>
      </c>
      <c r="R6" s="34" t="n">
        <v>2.5</v>
      </c>
      <c r="S6" s="34" t="n">
        <f aca="false">+Q6*R6</f>
        <v>8.25</v>
      </c>
      <c r="T6" s="34" t="n">
        <f aca="false">4*(S6-S8)</f>
        <v>27.8</v>
      </c>
      <c r="U6" s="35" t="n">
        <f aca="false">+O6*P6*T6</f>
        <v>9.26973738712617</v>
      </c>
      <c r="V6" s="36" t="n">
        <f aca="false">V$3-V$2</f>
        <v>15</v>
      </c>
      <c r="W6" s="37" t="n">
        <f aca="false">+$W$3</f>
        <v>8</v>
      </c>
      <c r="X6" s="37" t="n">
        <f aca="false">+W6-V6</f>
        <v>-7</v>
      </c>
      <c r="Y6" s="38" t="n">
        <f aca="false">U6*X6</f>
        <v>-64.8881617098832</v>
      </c>
      <c r="Z6" s="39" t="n">
        <f aca="false">$Z$3*Y6/1000</f>
        <v>-568.420296578577</v>
      </c>
      <c r="AA6" s="40" t="n">
        <f aca="false">(1+AA$3)*Z6</f>
        <v>-667.893848479828</v>
      </c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8" hidden="false" customHeight="false" outlineLevel="0" collapsed="false">
      <c r="A7" s="32" t="s">
        <v>43</v>
      </c>
      <c r="B7" s="32" t="n">
        <v>18</v>
      </c>
      <c r="C7" s="32"/>
      <c r="D7" s="32" t="n">
        <v>145</v>
      </c>
      <c r="E7" s="32"/>
      <c r="F7" s="32"/>
      <c r="G7" s="32"/>
      <c r="H7" s="32"/>
      <c r="I7" s="32"/>
      <c r="J7" s="32"/>
      <c r="K7" s="32"/>
      <c r="L7" s="32"/>
      <c r="M7" s="25" t="n">
        <f aca="false">+(B7/B$3+C7/C$3+D7/D$3+E7/E$3+F7/F$3+G7/G$3+H7/H$3+I7/I$3+J7/J$3+K7/K$3+L7/L$3)/1000</f>
        <v>3.94436090225564</v>
      </c>
      <c r="N7" s="25" t="n">
        <f aca="false">+1/M7</f>
        <v>0.253526496378193</v>
      </c>
      <c r="O7" s="33" t="n">
        <f aca="false">+N7</f>
        <v>0.253526496378193</v>
      </c>
      <c r="P7" s="33" t="n">
        <f aca="false">1+P3</f>
        <v>1.15</v>
      </c>
      <c r="Q7" s="34" t="n">
        <v>3.3</v>
      </c>
      <c r="R7" s="34" t="n">
        <v>2.5</v>
      </c>
      <c r="S7" s="34" t="n">
        <f aca="false">+Q7*R7</f>
        <v>8.25</v>
      </c>
      <c r="T7" s="34" t="n">
        <f aca="false">4*S7</f>
        <v>33</v>
      </c>
      <c r="U7" s="35" t="n">
        <f aca="false">+O7*P7*T7</f>
        <v>9.62133053755242</v>
      </c>
      <c r="V7" s="36" t="n">
        <f aca="false">V$3-V$2</f>
        <v>15</v>
      </c>
      <c r="W7" s="37" t="n">
        <f aca="false">+$W$3</f>
        <v>8</v>
      </c>
      <c r="X7" s="37" t="n">
        <f aca="false">+W7-V7</f>
        <v>-7</v>
      </c>
      <c r="Y7" s="38" t="n">
        <f aca="false">U7*X7</f>
        <v>-67.3493137628669</v>
      </c>
      <c r="Z7" s="39" t="n">
        <f aca="false">$Z$3*Y7/1000</f>
        <v>-589.979988562714</v>
      </c>
      <c r="AA7" s="40" t="n">
        <f aca="false">(1+AA$3)*Z7</f>
        <v>-693.22648656119</v>
      </c>
    </row>
    <row r="8" customFormat="false" ht="35.35" hidden="false" customHeight="false" outlineLevel="0" collapsed="false">
      <c r="A8" s="32" t="s">
        <v>44</v>
      </c>
      <c r="B8" s="32"/>
      <c r="C8" s="32"/>
      <c r="D8" s="32"/>
      <c r="E8" s="32"/>
      <c r="F8" s="32"/>
      <c r="G8" s="32"/>
      <c r="H8" s="32"/>
      <c r="I8" s="32"/>
      <c r="J8" s="32"/>
      <c r="K8" s="32" t="n">
        <v>5</v>
      </c>
      <c r="L8" s="32" t="n">
        <v>4</v>
      </c>
      <c r="M8" s="25" t="n">
        <f aca="false">+(B8/B$3+C8/C$3+D8/D$3+E8/E$3+F8/F$3+G8/G$3+H8/H$3+I8/I$3+J8/J$3+K8/K$3+L8/L$3)/1000</f>
        <v>0.710955710955711</v>
      </c>
      <c r="N8" s="25" t="n">
        <f aca="false">+1/M8</f>
        <v>1.40655737704918</v>
      </c>
      <c r="O8" s="33" t="n">
        <f aca="false">+N8</f>
        <v>1.40655737704918</v>
      </c>
      <c r="P8" s="33" t="n">
        <v>1</v>
      </c>
      <c r="Q8" s="34" t="n">
        <v>1</v>
      </c>
      <c r="R8" s="34" t="n">
        <v>1.3</v>
      </c>
      <c r="S8" s="34" t="n">
        <f aca="false">+Q8*R8</f>
        <v>1.3</v>
      </c>
      <c r="T8" s="34" t="n">
        <f aca="false">4*S8</f>
        <v>5.2</v>
      </c>
      <c r="U8" s="35" t="n">
        <f aca="false">+O8*P8*T8</f>
        <v>7.31409836065574</v>
      </c>
      <c r="V8" s="36" t="n">
        <f aca="false">V$3-V$2</f>
        <v>15</v>
      </c>
      <c r="W8" s="37" t="n">
        <f aca="false">+$W$3</f>
        <v>8</v>
      </c>
      <c r="X8" s="37" t="n">
        <f aca="false">+W8-V8</f>
        <v>-7</v>
      </c>
      <c r="Y8" s="38" t="n">
        <f aca="false">U8*X8</f>
        <v>-51.1986885245902</v>
      </c>
      <c r="Z8" s="39" t="n">
        <f aca="false">$Z$3*Y8/1000</f>
        <v>-448.50051147541</v>
      </c>
      <c r="AA8" s="40" t="n">
        <f aca="false">(1+AA$3)*Z8</f>
        <v>-526.988100983607</v>
      </c>
    </row>
    <row r="9" s="44" customFormat="true" ht="12.8" hidden="false" customHeight="false" outlineLevel="0" collapsed="false">
      <c r="A9" s="18" t="s">
        <v>45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3"/>
      <c r="P9" s="43"/>
      <c r="Q9" s="43"/>
      <c r="R9" s="43"/>
      <c r="S9" s="43"/>
      <c r="T9" s="42"/>
      <c r="U9" s="35"/>
      <c r="V9" s="37"/>
      <c r="W9" s="37"/>
      <c r="X9" s="42"/>
      <c r="Y9" s="38"/>
      <c r="Z9" s="39"/>
      <c r="AME9" s="0"/>
      <c r="AMF9" s="0"/>
      <c r="AMG9" s="0"/>
      <c r="AMH9" s="0"/>
      <c r="AMI9" s="0"/>
      <c r="AMJ9" s="0"/>
    </row>
    <row r="10" customFormat="false" ht="12.8" hidden="false" customHeight="false" outlineLevel="0" collapsed="false">
      <c r="A10" s="32" t="s">
        <v>41</v>
      </c>
      <c r="B10" s="32" t="n">
        <v>17</v>
      </c>
      <c r="C10" s="32"/>
      <c r="D10" s="32" t="n">
        <f aca="false">4*95</f>
        <v>380</v>
      </c>
      <c r="E10" s="32"/>
      <c r="F10" s="32"/>
      <c r="G10" s="32"/>
      <c r="H10" s="32"/>
      <c r="I10" s="32"/>
      <c r="J10" s="32"/>
      <c r="K10" s="32"/>
      <c r="L10" s="32"/>
      <c r="M10" s="25" t="n">
        <f aca="false">+(B10/B$3+C10/C$3+D10/D$3+E10/E$3+F10/F$3+G10/G$3+H10/H$3+I10/I$3+J10/J$3+K10/K$3+L10/L$3)/1000</f>
        <v>10.1214285714286</v>
      </c>
      <c r="N10" s="25" t="n">
        <f aca="false">+1/M10</f>
        <v>0.0988002822865208</v>
      </c>
      <c r="O10" s="33" t="n">
        <f aca="false">+N10</f>
        <v>0.0988002822865208</v>
      </c>
      <c r="P10" s="33" t="n">
        <v>1</v>
      </c>
      <c r="Q10" s="34" t="n">
        <v>3</v>
      </c>
      <c r="R10" s="34" t="n">
        <v>7</v>
      </c>
      <c r="S10" s="34" t="n">
        <f aca="false">+Q10*R10</f>
        <v>21</v>
      </c>
      <c r="T10" s="34" t="n">
        <f aca="false">S10</f>
        <v>21</v>
      </c>
      <c r="U10" s="35" t="n">
        <f aca="false">+O10*P10*T10</f>
        <v>2.07480592801694</v>
      </c>
      <c r="V10" s="37" t="n">
        <f aca="false">V$3</f>
        <v>21</v>
      </c>
      <c r="W10" s="37" t="n">
        <f aca="false">+$W$3</f>
        <v>8</v>
      </c>
      <c r="X10" s="37" t="n">
        <f aca="false">+W10-V10</f>
        <v>-13</v>
      </c>
      <c r="Y10" s="38" t="n">
        <f aca="false">U10*X10</f>
        <v>-26.9724770642202</v>
      </c>
      <c r="Z10" s="39" t="n">
        <f aca="false">$Z$3*Y10/1000</f>
        <v>-236.278899082569</v>
      </c>
      <c r="AA10" s="40" t="n">
        <f aca="false">(1+AA$3)*Z10</f>
        <v>-277.627706422018</v>
      </c>
    </row>
    <row r="11" customFormat="false" ht="33.95" hidden="false" customHeight="false" outlineLevel="0" collapsed="false">
      <c r="A11" s="32" t="s">
        <v>46</v>
      </c>
      <c r="B11" s="32" t="n">
        <v>43</v>
      </c>
      <c r="C11" s="32"/>
      <c r="D11" s="36" t="n">
        <f aca="false">D$2</f>
        <v>195</v>
      </c>
      <c r="E11" s="36" t="n">
        <f aca="false">E$2</f>
        <v>0</v>
      </c>
      <c r="F11" s="32"/>
      <c r="G11" s="32"/>
      <c r="H11" s="32"/>
      <c r="I11" s="32"/>
      <c r="J11" s="32"/>
      <c r="K11" s="32"/>
      <c r="L11" s="32"/>
      <c r="M11" s="25" t="n">
        <f aca="false">+(B11/B$3+C11/C$3+D11/D$3+E11/E$3+F11/F$3+G11/G$3+H11/H$3+I11/I$3+J11/J$3+K11/K$3+L11/L$3)/1000</f>
        <v>5.43872180451128</v>
      </c>
      <c r="N11" s="25" t="n">
        <f aca="false">+1/M11</f>
        <v>0.183866731181309</v>
      </c>
      <c r="O11" s="33" t="n">
        <f aca="false">+N11</f>
        <v>0.183866731181309</v>
      </c>
      <c r="P11" s="33" t="n">
        <f aca="false">1+P$3</f>
        <v>1.15</v>
      </c>
      <c r="Q11" s="34" t="n">
        <v>3.3</v>
      </c>
      <c r="R11" s="34" t="n">
        <v>4</v>
      </c>
      <c r="S11" s="34" t="n">
        <f aca="false">+Q11*R11</f>
        <v>13.2</v>
      </c>
      <c r="T11" s="34" t="n">
        <f aca="false">S11-S12</f>
        <v>11.25</v>
      </c>
      <c r="U11" s="35" t="n">
        <f aca="false">+O11*P11*T11</f>
        <v>2.37877583465819</v>
      </c>
      <c r="V11" s="37" t="n">
        <f aca="false">V$3</f>
        <v>21</v>
      </c>
      <c r="W11" s="37" t="n">
        <f aca="false">+$W$3</f>
        <v>8</v>
      </c>
      <c r="X11" s="37" t="n">
        <f aca="false">+W11-V11</f>
        <v>-13</v>
      </c>
      <c r="Y11" s="38" t="n">
        <f aca="false">U11*X11</f>
        <v>-30.9240858505564</v>
      </c>
      <c r="Z11" s="39" t="n">
        <f aca="false">$Z$3*Y11/1000</f>
        <v>-270.894992050874</v>
      </c>
      <c r="AA11" s="40" t="n">
        <f aca="false">(1+AA$3)*Z11</f>
        <v>-318.301615659777</v>
      </c>
    </row>
    <row r="12" customFormat="false" ht="23.85" hidden="false" customHeight="false" outlineLevel="0" collapsed="false">
      <c r="A12" s="32" t="s">
        <v>47</v>
      </c>
      <c r="B12" s="32" t="n">
        <v>22</v>
      </c>
      <c r="C12" s="32"/>
      <c r="D12" s="32" t="n">
        <v>200</v>
      </c>
      <c r="E12" s="32"/>
      <c r="F12" s="32"/>
      <c r="G12" s="32"/>
      <c r="H12" s="32"/>
      <c r="I12" s="32"/>
      <c r="J12" s="32"/>
      <c r="K12" s="32"/>
      <c r="L12" s="32"/>
      <c r="M12" s="25" t="n">
        <f aca="false">+(B12/B$3+C12/C$3+D12/D$3+E12/E$3+F12/F$3+G12/G$3+H12/H$3+I12/I$3+J12/J$3+K12/K$3+L12/L$3)/1000</f>
        <v>5.4203007518797</v>
      </c>
      <c r="N12" s="25" t="n">
        <f aca="false">+1/M12</f>
        <v>0.184491607712581</v>
      </c>
      <c r="O12" s="33" t="n">
        <f aca="false">+N12</f>
        <v>0.184491607712581</v>
      </c>
      <c r="P12" s="33" t="n">
        <f aca="false">1+P$3</f>
        <v>1.15</v>
      </c>
      <c r="Q12" s="34" t="n">
        <v>1.3</v>
      </c>
      <c r="R12" s="34" t="n">
        <v>1.5</v>
      </c>
      <c r="S12" s="34" t="n">
        <f aca="false">+Q12*R12</f>
        <v>1.95</v>
      </c>
      <c r="T12" s="34" t="n">
        <f aca="false">S12</f>
        <v>1.95</v>
      </c>
      <c r="U12" s="35" t="n">
        <f aca="false">+O12*P12*T12</f>
        <v>0.413722430295464</v>
      </c>
      <c r="V12" s="37" t="n">
        <f aca="false">V$3</f>
        <v>21</v>
      </c>
      <c r="W12" s="37" t="n">
        <f aca="false">+$W$3</f>
        <v>8</v>
      </c>
      <c r="X12" s="37" t="n">
        <f aca="false">+W12-V12</f>
        <v>-13</v>
      </c>
      <c r="Y12" s="38" t="n">
        <f aca="false">U12*X12</f>
        <v>-5.37839159384103</v>
      </c>
      <c r="Z12" s="39" t="n">
        <f aca="false">$Z$3*Y12/1000</f>
        <v>-47.1147103620474</v>
      </c>
      <c r="AA12" s="40" t="n">
        <f aca="false">(1+AA$3)*Z12</f>
        <v>-55.3597846754057</v>
      </c>
    </row>
    <row r="13" s="44" customFormat="true" ht="12.8" hidden="false" customHeight="false" outlineLevel="0" collapsed="false">
      <c r="A13" s="18" t="s">
        <v>48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43"/>
      <c r="Q13" s="43"/>
      <c r="R13" s="43"/>
      <c r="S13" s="43"/>
      <c r="T13" s="42"/>
      <c r="U13" s="35"/>
      <c r="V13" s="42"/>
      <c r="W13" s="37"/>
      <c r="X13" s="42"/>
      <c r="Y13" s="38"/>
    </row>
    <row r="14" s="41" customFormat="true" ht="35.35" hidden="false" customHeight="false" outlineLevel="0" collapsed="false">
      <c r="A14" s="32" t="s">
        <v>49</v>
      </c>
      <c r="B14" s="32" t="n">
        <f aca="false">+75+15</f>
        <v>90</v>
      </c>
      <c r="C14" s="32" t="n">
        <v>12.7</v>
      </c>
      <c r="D14" s="32" t="n">
        <v>95</v>
      </c>
      <c r="E14" s="32"/>
      <c r="F14" s="32" t="n">
        <v>13</v>
      </c>
      <c r="G14" s="32"/>
      <c r="H14" s="32"/>
      <c r="I14" s="32"/>
      <c r="J14" s="32"/>
      <c r="K14" s="32"/>
      <c r="L14" s="32"/>
      <c r="M14" s="25" t="n">
        <f aca="false">+(B14/B$3+C14/C$3+D14/D$3+E14/E$3+F14/F$3+G14/G$3+H14/H$3+I14/I$3+J14/J$3+K14/K$3+L14/L$3)/1000</f>
        <v>3.44885714285714</v>
      </c>
      <c r="N14" s="25" t="n">
        <f aca="false">+1/M14</f>
        <v>0.28995112252506</v>
      </c>
      <c r="O14" s="33" t="n">
        <f aca="false">+N14</f>
        <v>0.28995112252506</v>
      </c>
      <c r="P14" s="33" t="n">
        <f aca="false">1+P$3</f>
        <v>1.15</v>
      </c>
      <c r="Q14" s="34" t="n">
        <v>5</v>
      </c>
      <c r="R14" s="34" t="n">
        <v>2.8</v>
      </c>
      <c r="S14" s="34" t="n">
        <f aca="false">+Q14*R14</f>
        <v>14</v>
      </c>
      <c r="T14" s="34" t="n">
        <f aca="false">(S14-S15)</f>
        <v>12.6</v>
      </c>
      <c r="U14" s="35" t="n">
        <f aca="false">+O14*P14*T14</f>
        <v>4.20139176538812</v>
      </c>
      <c r="V14" s="37" t="n">
        <f aca="false">V$3</f>
        <v>21</v>
      </c>
      <c r="W14" s="37" t="n">
        <f aca="false">+$W$3</f>
        <v>8</v>
      </c>
      <c r="X14" s="37" t="n">
        <f aca="false">+W14-V14</f>
        <v>-13</v>
      </c>
      <c r="Y14" s="38" t="n">
        <f aca="false">U14*X14</f>
        <v>-54.6180929500456</v>
      </c>
      <c r="Z14" s="39" t="n">
        <f aca="false">$Z$3*Y14/1000</f>
        <v>-478.454494242399</v>
      </c>
      <c r="AA14" s="45" t="n">
        <f aca="false">(1+AA$3)*Z14</f>
        <v>-562.184030734819</v>
      </c>
      <c r="ALY14" s="30"/>
      <c r="ALZ14" s="30"/>
      <c r="AMA14" s="30"/>
      <c r="AMB14" s="30"/>
      <c r="AMC14" s="30"/>
      <c r="AMD14" s="30"/>
      <c r="AME14" s="30"/>
      <c r="AMF14" s="30"/>
      <c r="AMG14" s="30"/>
      <c r="AMH14" s="30"/>
      <c r="AMI14" s="30"/>
      <c r="AMJ14" s="30"/>
    </row>
    <row r="15" customFormat="false" ht="35.35" hidden="false" customHeight="false" outlineLevel="0" collapsed="false">
      <c r="A15" s="32" t="s">
        <v>44</v>
      </c>
      <c r="B15" s="32"/>
      <c r="C15" s="32"/>
      <c r="D15" s="32"/>
      <c r="E15" s="32"/>
      <c r="F15" s="32"/>
      <c r="G15" s="32"/>
      <c r="H15" s="32"/>
      <c r="I15" s="32"/>
      <c r="J15" s="32"/>
      <c r="K15" s="32" t="n">
        <v>5</v>
      </c>
      <c r="L15" s="32" t="n">
        <v>4</v>
      </c>
      <c r="M15" s="25" t="n">
        <f aca="false">+(B15/B$3+C15/C$3+D15/D$3+E15/E$3+F15/F$3+G15/G$3+H15/H$3+I15/I$3+J15/J$3+K15/K$3+L15/L$3)/1000</f>
        <v>0.710955710955711</v>
      </c>
      <c r="N15" s="25" t="n">
        <f aca="false">+1/M15</f>
        <v>1.40655737704918</v>
      </c>
      <c r="O15" s="33" t="n">
        <f aca="false">+N15</f>
        <v>1.40655737704918</v>
      </c>
      <c r="P15" s="33" t="n">
        <v>1</v>
      </c>
      <c r="Q15" s="34" t="n">
        <v>1</v>
      </c>
      <c r="R15" s="34" t="n">
        <v>1.4</v>
      </c>
      <c r="S15" s="34" t="n">
        <f aca="false">+Q15*R15</f>
        <v>1.4</v>
      </c>
      <c r="T15" s="34" t="n">
        <f aca="false">S15</f>
        <v>1.4</v>
      </c>
      <c r="U15" s="35" t="n">
        <f aca="false">+O15*P15*T15</f>
        <v>1.96918032786885</v>
      </c>
      <c r="V15" s="37" t="n">
        <f aca="false">V$3</f>
        <v>21</v>
      </c>
      <c r="W15" s="37" t="n">
        <f aca="false">+$W$3</f>
        <v>8</v>
      </c>
      <c r="X15" s="37" t="n">
        <f aca="false">+W15-V15</f>
        <v>-13</v>
      </c>
      <c r="Y15" s="38" t="n">
        <f aca="false">U15*X15</f>
        <v>-25.5993442622951</v>
      </c>
      <c r="Z15" s="39" t="n">
        <f aca="false">$Z$3*Y15/1000</f>
        <v>-224.250255737705</v>
      </c>
      <c r="AA15" s="40" t="n">
        <f aca="false">(1+AA$3)*Z15</f>
        <v>-263.494050491803</v>
      </c>
    </row>
    <row r="16" customFormat="false" ht="35" hidden="false" customHeight="false" outlineLevel="0" collapsed="false">
      <c r="A16" s="32" t="s">
        <v>50</v>
      </c>
      <c r="B16" s="32" t="n">
        <v>50</v>
      </c>
      <c r="C16" s="32"/>
      <c r="D16" s="36" t="n">
        <f aca="false">D$2</f>
        <v>195</v>
      </c>
      <c r="E16" s="36" t="n">
        <f aca="false">E$2</f>
        <v>0</v>
      </c>
      <c r="F16" s="32"/>
      <c r="G16" s="32"/>
      <c r="H16" s="32"/>
      <c r="I16" s="32"/>
      <c r="J16" s="32"/>
      <c r="K16" s="32"/>
      <c r="L16" s="32"/>
      <c r="M16" s="25" t="n">
        <f aca="false">+(B16/B$3+C16/C$3+D16/D$3+E16/E$3+F16/F$3+G16/G$3+H16/H$3+I16/I$3+J16/J$3+K16/K$3+L16/L$3)/1000</f>
        <v>5.48872180451128</v>
      </c>
      <c r="N16" s="25" t="n">
        <f aca="false">+1/M16</f>
        <v>0.182191780821918</v>
      </c>
      <c r="O16" s="33" t="n">
        <f aca="false">+N16</f>
        <v>0.182191780821918</v>
      </c>
      <c r="P16" s="33" t="n">
        <f aca="false">1+P$3</f>
        <v>1.15</v>
      </c>
      <c r="Q16" s="34" t="n">
        <v>4</v>
      </c>
      <c r="R16" s="34" t="n">
        <v>4</v>
      </c>
      <c r="S16" s="34" t="n">
        <f aca="false">+Q16*R16</f>
        <v>16</v>
      </c>
      <c r="T16" s="34" t="n">
        <f aca="false">S16</f>
        <v>16</v>
      </c>
      <c r="U16" s="35" t="n">
        <f aca="false">+O16*P16*T16</f>
        <v>3.35232876712329</v>
      </c>
      <c r="V16" s="37" t="n">
        <f aca="false">V$3</f>
        <v>21</v>
      </c>
      <c r="W16" s="37" t="n">
        <f aca="false">+$W$3</f>
        <v>8</v>
      </c>
      <c r="X16" s="37" t="n">
        <f aca="false">+W16-V16</f>
        <v>-13</v>
      </c>
      <c r="Y16" s="38" t="n">
        <f aca="false">U16*X16</f>
        <v>-43.5802739726027</v>
      </c>
      <c r="Z16" s="39" t="n">
        <f aca="false">$Z$3*Y16/1000</f>
        <v>-381.7632</v>
      </c>
      <c r="AA16" s="40" t="n">
        <f aca="false">(1+AA$3)*Z16</f>
        <v>-448.57176</v>
      </c>
    </row>
    <row r="17" s="44" customFormat="true" ht="12.8" hidden="false" customHeight="false" outlineLevel="0" collapsed="false">
      <c r="A17" s="18" t="s">
        <v>51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43"/>
      <c r="Q17" s="43"/>
      <c r="R17" s="43"/>
      <c r="S17" s="43"/>
      <c r="T17" s="42"/>
      <c r="U17" s="35"/>
      <c r="V17" s="37" t="n">
        <f aca="false">V$3</f>
        <v>21</v>
      </c>
      <c r="W17" s="37" t="n">
        <f aca="false">+$W$3</f>
        <v>8</v>
      </c>
      <c r="X17" s="42"/>
      <c r="Y17" s="38"/>
    </row>
    <row r="18" s="41" customFormat="true" ht="35.35" hidden="false" customHeight="false" outlineLevel="0" collapsed="false">
      <c r="A18" s="32" t="s">
        <v>49</v>
      </c>
      <c r="B18" s="32" t="n">
        <f aca="false">+75+15</f>
        <v>90</v>
      </c>
      <c r="C18" s="32" t="n">
        <v>12.7</v>
      </c>
      <c r="D18" s="32" t="n">
        <v>95</v>
      </c>
      <c r="E18" s="32"/>
      <c r="F18" s="32" t="n">
        <v>13</v>
      </c>
      <c r="G18" s="32"/>
      <c r="H18" s="32"/>
      <c r="I18" s="32"/>
      <c r="J18" s="32"/>
      <c r="K18" s="32"/>
      <c r="L18" s="32"/>
      <c r="M18" s="25" t="n">
        <f aca="false">+(B18/B$3+C18/C$3+D18/D$3+E18/E$3+F18/F$3+G18/G$3+H18/H$3+I18/I$3+J18/J$3+K18/K$3+L18/L$3)/1000</f>
        <v>3.44885714285714</v>
      </c>
      <c r="N18" s="25" t="n">
        <f aca="false">+1/M18</f>
        <v>0.28995112252506</v>
      </c>
      <c r="O18" s="33" t="n">
        <f aca="false">+N18</f>
        <v>0.28995112252506</v>
      </c>
      <c r="P18" s="33" t="n">
        <f aca="false">1+P$3</f>
        <v>1.15</v>
      </c>
      <c r="Q18" s="34" t="n">
        <v>8</v>
      </c>
      <c r="R18" s="34" t="n">
        <v>2.8</v>
      </c>
      <c r="S18" s="34" t="n">
        <f aca="false">+Q18*R18</f>
        <v>22.4</v>
      </c>
      <c r="T18" s="34" t="n">
        <f aca="false">(S18-S19)</f>
        <v>19.6</v>
      </c>
      <c r="U18" s="35" t="n">
        <f aca="false">+O18*P18*T18</f>
        <v>6.53549830171485</v>
      </c>
      <c r="V18" s="37" t="n">
        <f aca="false">V$3</f>
        <v>21</v>
      </c>
      <c r="W18" s="37" t="n">
        <f aca="false">+$W$3</f>
        <v>8</v>
      </c>
      <c r="X18" s="37" t="n">
        <f aca="false">+W18-V18</f>
        <v>-13</v>
      </c>
      <c r="Y18" s="38" t="n">
        <f aca="false">U18*X18</f>
        <v>-84.9614779222931</v>
      </c>
      <c r="Z18" s="39" t="n">
        <f aca="false">$Z$3*Y18/1000</f>
        <v>-744.262546599288</v>
      </c>
      <c r="AA18" s="40" t="n">
        <f aca="false">(1+AA$3)*Z18</f>
        <v>-874.508492254163</v>
      </c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35.35" hidden="false" customHeight="false" outlineLevel="0" collapsed="false">
      <c r="A19" s="32" t="s">
        <v>44</v>
      </c>
      <c r="B19" s="32"/>
      <c r="C19" s="32"/>
      <c r="D19" s="32"/>
      <c r="E19" s="32"/>
      <c r="F19" s="32"/>
      <c r="G19" s="32"/>
      <c r="H19" s="32"/>
      <c r="I19" s="32"/>
      <c r="J19" s="32"/>
      <c r="K19" s="32" t="n">
        <v>5</v>
      </c>
      <c r="L19" s="32" t="n">
        <v>4</v>
      </c>
      <c r="M19" s="25" t="n">
        <f aca="false">+(B19/B$3+C19/C$3+D19/D$3+E19/E$3+F19/F$3+G19/G$3+H19/H$3+I19/I$3+J19/J$3+K19/K$3+L19/L$3)/1000</f>
        <v>0.710955710955711</v>
      </c>
      <c r="N19" s="25" t="n">
        <f aca="false">+1/M19</f>
        <v>1.40655737704918</v>
      </c>
      <c r="O19" s="33" t="n">
        <f aca="false">+N19</f>
        <v>1.40655737704918</v>
      </c>
      <c r="P19" s="33" t="n">
        <v>1</v>
      </c>
      <c r="Q19" s="34" t="n">
        <v>2</v>
      </c>
      <c r="R19" s="34" t="n">
        <v>1.4</v>
      </c>
      <c r="S19" s="34" t="n">
        <f aca="false">+Q19*R19</f>
        <v>2.8</v>
      </c>
      <c r="T19" s="34" t="n">
        <f aca="false">S19</f>
        <v>2.8</v>
      </c>
      <c r="U19" s="35" t="n">
        <f aca="false">+O19*P19*T19</f>
        <v>3.9383606557377</v>
      </c>
      <c r="V19" s="37" t="n">
        <f aca="false">V$3</f>
        <v>21</v>
      </c>
      <c r="W19" s="37" t="n">
        <f aca="false">+$W$3</f>
        <v>8</v>
      </c>
      <c r="X19" s="37" t="n">
        <f aca="false">+W19-V19</f>
        <v>-13</v>
      </c>
      <c r="Y19" s="38" t="n">
        <f aca="false">U19*X19</f>
        <v>-51.1986885245902</v>
      </c>
      <c r="Z19" s="39" t="n">
        <f aca="false">$Z$3*Y19/1000</f>
        <v>-448.50051147541</v>
      </c>
      <c r="AA19" s="40" t="n">
        <f aca="false">(1+AA$3)*Z19</f>
        <v>-526.988100983607</v>
      </c>
    </row>
    <row r="20" customFormat="false" ht="44.85" hidden="false" customHeight="false" outlineLevel="0" collapsed="false">
      <c r="A20" s="32" t="s">
        <v>52</v>
      </c>
      <c r="B20" s="32" t="n">
        <v>57</v>
      </c>
      <c r="C20" s="32"/>
      <c r="D20" s="32" t="n">
        <v>180</v>
      </c>
      <c r="E20" s="32" t="n">
        <v>100</v>
      </c>
      <c r="F20" s="32" t="n">
        <v>26</v>
      </c>
      <c r="G20" s="32"/>
      <c r="H20" s="32" t="n">
        <v>7</v>
      </c>
      <c r="I20" s="32"/>
      <c r="J20" s="32"/>
      <c r="K20" s="32"/>
      <c r="L20" s="32"/>
      <c r="M20" s="25" t="n">
        <f aca="false">+(B20/B$3+C20/C$3+D20/D$3+E20/E$3+F20/F$3+G20/G$3+H20/H$3+I20/I$3+J20/J$3+K20/K$3+L20/L$3)/1000</f>
        <v>6.91876927613151</v>
      </c>
      <c r="N20" s="25" t="n">
        <f aca="false">+1/M20</f>
        <v>0.144534375998029</v>
      </c>
      <c r="O20" s="33" t="n">
        <f aca="false">+N20</f>
        <v>0.144534375998029</v>
      </c>
      <c r="P20" s="33" t="n">
        <f aca="false">1+P$3</f>
        <v>1.15</v>
      </c>
      <c r="Q20" s="34" t="n">
        <v>4</v>
      </c>
      <c r="R20" s="34" t="n">
        <v>4</v>
      </c>
      <c r="S20" s="34" t="n">
        <f aca="false">+Q20*R20</f>
        <v>16</v>
      </c>
      <c r="T20" s="34" t="n">
        <f aca="false">S20</f>
        <v>16</v>
      </c>
      <c r="U20" s="35" t="n">
        <f aca="false">+O20*P20*T20</f>
        <v>2.65943251836373</v>
      </c>
      <c r="V20" s="37" t="n">
        <f aca="false">V$3+2</f>
        <v>23</v>
      </c>
      <c r="W20" s="37" t="n">
        <f aca="false">+$W$3+2</f>
        <v>10</v>
      </c>
      <c r="X20" s="37" t="n">
        <f aca="false">+W20-V20</f>
        <v>-13</v>
      </c>
      <c r="Y20" s="38" t="n">
        <f aca="false">U20*X20</f>
        <v>-34.5726227387285</v>
      </c>
      <c r="Z20" s="39" t="n">
        <f aca="false">$Z$3*Y20/1000</f>
        <v>-302.856175191261</v>
      </c>
      <c r="AA20" s="40" t="n">
        <f aca="false">(1+AA$3)*Z20</f>
        <v>-355.856005849732</v>
      </c>
    </row>
    <row r="21" s="44" customFormat="true" ht="12.8" hidden="false" customHeight="false" outlineLevel="0" collapsed="false">
      <c r="A21" s="18" t="s">
        <v>53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3"/>
      <c r="P21" s="43"/>
      <c r="Q21" s="43"/>
      <c r="R21" s="43"/>
      <c r="S21" s="43"/>
      <c r="T21" s="42"/>
      <c r="U21" s="35"/>
      <c r="V21" s="42"/>
      <c r="W21" s="37"/>
      <c r="X21" s="42"/>
      <c r="Y21" s="38"/>
    </row>
    <row r="22" s="41" customFormat="true" ht="35.35" hidden="false" customHeight="false" outlineLevel="0" collapsed="false">
      <c r="A22" s="32" t="s">
        <v>49</v>
      </c>
      <c r="B22" s="32" t="n">
        <f aca="false">+75+15</f>
        <v>90</v>
      </c>
      <c r="C22" s="32" t="n">
        <v>12.7</v>
      </c>
      <c r="D22" s="32" t="n">
        <v>95</v>
      </c>
      <c r="E22" s="32"/>
      <c r="F22" s="32" t="n">
        <v>13</v>
      </c>
      <c r="G22" s="32"/>
      <c r="H22" s="32"/>
      <c r="I22" s="32"/>
      <c r="J22" s="32"/>
      <c r="K22" s="32"/>
      <c r="L22" s="32"/>
      <c r="M22" s="25" t="n">
        <f aca="false">+(B22/B$3+C22/C$3+D22/D$3+E22/E$3+F22/F$3+G22/G$3+H22/H$3+I22/I$3+J22/J$3+K22/K$3+L22/L$3)/1000</f>
        <v>3.44885714285714</v>
      </c>
      <c r="N22" s="25" t="n">
        <f aca="false">+1/M22</f>
        <v>0.28995112252506</v>
      </c>
      <c r="O22" s="33" t="n">
        <f aca="false">+N22</f>
        <v>0.28995112252506</v>
      </c>
      <c r="P22" s="33" t="n">
        <f aca="false">1+P$3</f>
        <v>1.15</v>
      </c>
      <c r="Q22" s="34" t="n">
        <v>4</v>
      </c>
      <c r="R22" s="34" t="n">
        <v>2.8</v>
      </c>
      <c r="S22" s="34" t="n">
        <f aca="false">+Q22*R22</f>
        <v>11.2</v>
      </c>
      <c r="T22" s="34" t="n">
        <f aca="false">(S22-S24/2)</f>
        <v>9.8</v>
      </c>
      <c r="U22" s="35" t="n">
        <f aca="false">+O22*P22*T22</f>
        <v>3.26774915085743</v>
      </c>
      <c r="V22" s="37" t="n">
        <f aca="false">V$3</f>
        <v>21</v>
      </c>
      <c r="W22" s="37" t="n">
        <f aca="false">+$W$3</f>
        <v>8</v>
      </c>
      <c r="X22" s="37" t="n">
        <f aca="false">+W22-V22</f>
        <v>-13</v>
      </c>
      <c r="Y22" s="38" t="n">
        <f aca="false">U22*X22</f>
        <v>-42.4807389611465</v>
      </c>
      <c r="Z22" s="39" t="n">
        <f aca="false">$Z$3*Y22/1000</f>
        <v>-372.131273299644</v>
      </c>
      <c r="AA22" s="40" t="n">
        <f aca="false">(1+AA$3)*Z22</f>
        <v>-437.254246127081</v>
      </c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s="41" customFormat="true" ht="24.05" hidden="false" customHeight="false" outlineLevel="0" collapsed="false">
      <c r="A23" s="32" t="s">
        <v>54</v>
      </c>
      <c r="B23" s="32" t="n">
        <v>90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25" t="n">
        <f aca="false">+(B23/B$3+C23/C$3+D23/D$3+E23/E$3+F23/F$3+G23/G$3+H23/H$3+I23/I$3+J23/J$3+K23/K$3+L23/L$3)/1000</f>
        <v>0.642857142857143</v>
      </c>
      <c r="N23" s="25" t="n">
        <f aca="false">+1/M23</f>
        <v>1.55555555555556</v>
      </c>
      <c r="O23" s="33" t="n">
        <f aca="false">+N23</f>
        <v>1.55555555555556</v>
      </c>
      <c r="P23" s="33" t="n">
        <f aca="false">1</f>
        <v>1</v>
      </c>
      <c r="Q23" s="34" t="n">
        <v>4</v>
      </c>
      <c r="R23" s="34" t="n">
        <v>2.8</v>
      </c>
      <c r="S23" s="34" t="n">
        <f aca="false">+Q23*R23</f>
        <v>11.2</v>
      </c>
      <c r="T23" s="34" t="n">
        <f aca="false">(S23-S24/2)</f>
        <v>9.8</v>
      </c>
      <c r="U23" s="35" t="n">
        <f aca="false">+O23*P23*T23</f>
        <v>15.2444444444444</v>
      </c>
      <c r="V23" s="37" t="n">
        <f aca="false">V$3</f>
        <v>21</v>
      </c>
      <c r="W23" s="37" t="n">
        <f aca="false">+$W$3</f>
        <v>8</v>
      </c>
      <c r="X23" s="37" t="n">
        <f aca="false">+W23-V23</f>
        <v>-13</v>
      </c>
      <c r="Y23" s="38" t="n">
        <f aca="false">U23*X23</f>
        <v>-198.177777777778</v>
      </c>
      <c r="Z23" s="39" t="n">
        <f aca="false">$Z$3*Y23/1000</f>
        <v>-1736.03733333333</v>
      </c>
      <c r="AA23" s="40" t="n">
        <f aca="false">(1+AA$3)*Z23</f>
        <v>-2039.84386666667</v>
      </c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35.35" hidden="false" customHeight="false" outlineLevel="0" collapsed="false">
      <c r="A24" s="32" t="s">
        <v>44</v>
      </c>
      <c r="B24" s="32"/>
      <c r="C24" s="32"/>
      <c r="D24" s="32"/>
      <c r="E24" s="32"/>
      <c r="F24" s="32"/>
      <c r="G24" s="32"/>
      <c r="H24" s="32"/>
      <c r="I24" s="32"/>
      <c r="J24" s="32"/>
      <c r="K24" s="32" t="n">
        <v>5</v>
      </c>
      <c r="L24" s="32" t="n">
        <v>4</v>
      </c>
      <c r="M24" s="25" t="n">
        <f aca="false">+(B24/B$3+C24/C$3+D24/D$3+E24/E$3+F24/F$3+G24/G$3+H24/H$3+I24/I$3+J24/J$3+K24/K$3+L24/L$3)/1000</f>
        <v>0.710955710955711</v>
      </c>
      <c r="N24" s="25" t="n">
        <f aca="false">+1/M24</f>
        <v>1.40655737704918</v>
      </c>
      <c r="O24" s="33" t="n">
        <f aca="false">+N24</f>
        <v>1.40655737704918</v>
      </c>
      <c r="P24" s="33" t="n">
        <v>1</v>
      </c>
      <c r="Q24" s="34" t="n">
        <v>2</v>
      </c>
      <c r="R24" s="34" t="n">
        <v>1.4</v>
      </c>
      <c r="S24" s="34" t="n">
        <f aca="false">+Q24*R24</f>
        <v>2.8</v>
      </c>
      <c r="T24" s="34" t="n">
        <f aca="false">S24</f>
        <v>2.8</v>
      </c>
      <c r="U24" s="35" t="n">
        <f aca="false">+O24*P24*T24</f>
        <v>3.9383606557377</v>
      </c>
      <c r="V24" s="37" t="n">
        <f aca="false">V$3</f>
        <v>21</v>
      </c>
      <c r="W24" s="37" t="n">
        <f aca="false">+$W$3</f>
        <v>8</v>
      </c>
      <c r="X24" s="37" t="n">
        <f aca="false">+W24-V24</f>
        <v>-13</v>
      </c>
      <c r="Y24" s="38" t="n">
        <f aca="false">U24*X24</f>
        <v>-51.1986885245902</v>
      </c>
      <c r="Z24" s="39" t="n">
        <f aca="false">$Z$3*Y24/1000</f>
        <v>-448.50051147541</v>
      </c>
      <c r="AA24" s="40" t="n">
        <f aca="false">(1+AA$3)*Z24</f>
        <v>-526.988100983607</v>
      </c>
    </row>
    <row r="25" customFormat="false" ht="35.35" hidden="false" customHeight="false" outlineLevel="0" collapsed="false">
      <c r="A25" s="32" t="s">
        <v>55</v>
      </c>
      <c r="B25" s="32" t="n">
        <v>35</v>
      </c>
      <c r="C25" s="32"/>
      <c r="D25" s="32" t="n">
        <v>200</v>
      </c>
      <c r="E25" s="32"/>
      <c r="F25" s="32"/>
      <c r="G25" s="32"/>
      <c r="H25" s="32"/>
      <c r="I25" s="32"/>
      <c r="J25" s="32"/>
      <c r="K25" s="32"/>
      <c r="L25" s="32"/>
      <c r="M25" s="25" t="n">
        <f aca="false">+(B25/B$3+C25/C$3+D25/D$3+E25/E$3+F25/F$3+G25/G$3+H25/H$3+I25/I$3+J25/J$3+K25/K$3+L25/L$3)/1000</f>
        <v>5.51315789473684</v>
      </c>
      <c r="N25" s="25" t="n">
        <f aca="false">+1/M25</f>
        <v>0.181384248210024</v>
      </c>
      <c r="O25" s="33" t="n">
        <f aca="false">+N25</f>
        <v>0.181384248210024</v>
      </c>
      <c r="P25" s="33" t="n">
        <f aca="false">1+P$3</f>
        <v>1.15</v>
      </c>
      <c r="Q25" s="34" t="n">
        <v>4</v>
      </c>
      <c r="R25" s="34" t="n">
        <v>4</v>
      </c>
      <c r="S25" s="34" t="n">
        <f aca="false">+Q25*R25</f>
        <v>16</v>
      </c>
      <c r="T25" s="34" t="n">
        <f aca="false">S25</f>
        <v>16</v>
      </c>
      <c r="U25" s="35" t="n">
        <f aca="false">+O25*P25*T25</f>
        <v>3.33747016706444</v>
      </c>
      <c r="V25" s="37" t="n">
        <f aca="false">V$3</f>
        <v>21</v>
      </c>
      <c r="W25" s="37" t="n">
        <f aca="false">+$W$3</f>
        <v>8</v>
      </c>
      <c r="X25" s="37" t="n">
        <f aca="false">+W25-V25</f>
        <v>-13</v>
      </c>
      <c r="Y25" s="38" t="n">
        <f aca="false">U25*X25</f>
        <v>-43.3871121718377</v>
      </c>
      <c r="Z25" s="39" t="n">
        <f aca="false">$Z$3*Y25/1000</f>
        <v>-380.071102625298</v>
      </c>
      <c r="AA25" s="40" t="n">
        <f aca="false">(1+AA$3)*Z25</f>
        <v>-446.583545584726</v>
      </c>
    </row>
    <row r="26" s="44" customFormat="true" ht="12.8" hidden="false" customHeight="false" outlineLevel="0" collapsed="false">
      <c r="A26" s="18" t="s">
        <v>56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3"/>
      <c r="P26" s="43"/>
      <c r="Q26" s="43"/>
      <c r="R26" s="43"/>
      <c r="S26" s="43"/>
      <c r="T26" s="42"/>
      <c r="U26" s="35"/>
      <c r="V26" s="42"/>
      <c r="W26" s="37"/>
      <c r="X26" s="42"/>
      <c r="Y26" s="38"/>
    </row>
    <row r="27" s="41" customFormat="true" ht="35.35" hidden="false" customHeight="false" outlineLevel="0" collapsed="false">
      <c r="A27" s="32" t="s">
        <v>49</v>
      </c>
      <c r="B27" s="32" t="n">
        <f aca="false">+75+15</f>
        <v>90</v>
      </c>
      <c r="C27" s="32" t="n">
        <v>12.7</v>
      </c>
      <c r="D27" s="32" t="n">
        <v>95</v>
      </c>
      <c r="E27" s="32"/>
      <c r="F27" s="32" t="n">
        <v>13</v>
      </c>
      <c r="G27" s="32"/>
      <c r="H27" s="32"/>
      <c r="I27" s="32"/>
      <c r="J27" s="32"/>
      <c r="K27" s="32"/>
      <c r="L27" s="32"/>
      <c r="M27" s="25" t="n">
        <f aca="false">+(B27/B$3+C27/C$3+D27/D$3+E27/E$3+F27/F$3+G27/G$3+H27/H$3+I27/I$3+J27/J$3+K27/K$3+L27/L$3)/1000</f>
        <v>3.44885714285714</v>
      </c>
      <c r="N27" s="25" t="n">
        <f aca="false">+1/M27</f>
        <v>0.28995112252506</v>
      </c>
      <c r="O27" s="33" t="n">
        <f aca="false">+N27</f>
        <v>0.28995112252506</v>
      </c>
      <c r="P27" s="33" t="n">
        <f aca="false">1+P$3</f>
        <v>1.15</v>
      </c>
      <c r="Q27" s="34" t="n">
        <v>5</v>
      </c>
      <c r="R27" s="34" t="n">
        <v>2.8</v>
      </c>
      <c r="S27" s="34" t="n">
        <f aca="false">+Q27*R27</f>
        <v>14</v>
      </c>
      <c r="T27" s="34" t="n">
        <f aca="false">4*(S27-S28)</f>
        <v>50.4</v>
      </c>
      <c r="U27" s="35" t="n">
        <f aca="false">+O27*P27*T27</f>
        <v>16.8055670615525</v>
      </c>
      <c r="V27" s="37" t="n">
        <f aca="false">V$3</f>
        <v>21</v>
      </c>
      <c r="W27" s="37" t="n">
        <f aca="false">+$W$3</f>
        <v>8</v>
      </c>
      <c r="X27" s="37" t="n">
        <f aca="false">+W27-V27</f>
        <v>-13</v>
      </c>
      <c r="Y27" s="38" t="n">
        <f aca="false">U27*X27</f>
        <v>-218.472371800182</v>
      </c>
      <c r="Z27" s="39" t="n">
        <f aca="false">$Z$3*Y27/1000</f>
        <v>-1913.8179769696</v>
      </c>
      <c r="AA27" s="45" t="n">
        <f aca="false">(1+AA$3)*Z27</f>
        <v>-2248.73612293928</v>
      </c>
      <c r="ALY27" s="30"/>
      <c r="ALZ27" s="30"/>
      <c r="AMA27" s="30"/>
      <c r="AMB27" s="30"/>
      <c r="AMC27" s="30"/>
      <c r="AMD27" s="30"/>
      <c r="AME27" s="30"/>
      <c r="AMF27" s="30"/>
      <c r="AMG27" s="30"/>
      <c r="AMH27" s="30"/>
      <c r="AMI27" s="30"/>
      <c r="AMJ27" s="30"/>
    </row>
    <row r="28" customFormat="false" ht="35.35" hidden="false" customHeight="false" outlineLevel="0" collapsed="false">
      <c r="A28" s="32" t="s">
        <v>44</v>
      </c>
      <c r="B28" s="32"/>
      <c r="C28" s="32"/>
      <c r="D28" s="32"/>
      <c r="E28" s="32"/>
      <c r="F28" s="32"/>
      <c r="G28" s="32"/>
      <c r="H28" s="32"/>
      <c r="I28" s="32"/>
      <c r="J28" s="32"/>
      <c r="K28" s="32" t="n">
        <v>5</v>
      </c>
      <c r="L28" s="32" t="n">
        <v>4</v>
      </c>
      <c r="M28" s="25" t="n">
        <f aca="false">+(B28/B$3+C28/C$3+D28/D$3+E28/E$3+F28/F$3+G28/G$3+H28/H$3+I28/I$3+J28/J$3+K28/K$3+L28/L$3)/1000</f>
        <v>0.710955710955711</v>
      </c>
      <c r="N28" s="25" t="n">
        <f aca="false">+1/M28</f>
        <v>1.40655737704918</v>
      </c>
      <c r="O28" s="33" t="n">
        <f aca="false">+N28</f>
        <v>1.40655737704918</v>
      </c>
      <c r="P28" s="33" t="n">
        <v>1</v>
      </c>
      <c r="Q28" s="34" t="n">
        <v>1</v>
      </c>
      <c r="R28" s="34" t="n">
        <v>1.4</v>
      </c>
      <c r="S28" s="34" t="n">
        <f aca="false">+Q28*R28</f>
        <v>1.4</v>
      </c>
      <c r="T28" s="34" t="n">
        <f aca="false">S28</f>
        <v>1.4</v>
      </c>
      <c r="U28" s="35" t="n">
        <f aca="false">+O28*P28*T28</f>
        <v>1.96918032786885</v>
      </c>
      <c r="V28" s="37" t="n">
        <f aca="false">V$3</f>
        <v>21</v>
      </c>
      <c r="W28" s="37" t="n">
        <f aca="false">+$W$3</f>
        <v>8</v>
      </c>
      <c r="X28" s="37" t="n">
        <f aca="false">+W28-V28</f>
        <v>-13</v>
      </c>
      <c r="Y28" s="38" t="n">
        <f aca="false">U28*X28</f>
        <v>-25.5993442622951</v>
      </c>
      <c r="Z28" s="39" t="n">
        <f aca="false">$Z$3*Y28/1000</f>
        <v>-224.250255737705</v>
      </c>
      <c r="AA28" s="40" t="n">
        <f aca="false">(1+AA$3)*Z28</f>
        <v>-263.494050491803</v>
      </c>
    </row>
    <row r="29" customFormat="false" ht="35" hidden="false" customHeight="false" outlineLevel="0" collapsed="false">
      <c r="A29" s="32" t="s">
        <v>57</v>
      </c>
      <c r="B29" s="32" t="n">
        <v>43</v>
      </c>
      <c r="C29" s="32"/>
      <c r="D29" s="36" t="n">
        <f aca="false">D$2</f>
        <v>195</v>
      </c>
      <c r="E29" s="36" t="n">
        <f aca="false">E$2</f>
        <v>0</v>
      </c>
      <c r="F29" s="32"/>
      <c r="G29" s="32"/>
      <c r="H29" s="32"/>
      <c r="I29" s="32"/>
      <c r="J29" s="32"/>
      <c r="K29" s="32"/>
      <c r="L29" s="32"/>
      <c r="M29" s="25" t="n">
        <f aca="false">+(B29/B$3+C29/C$3+D29/D$3+E29/E$3+F29/F$3+G29/G$3+H29/H$3+I29/I$3+J29/J$3+K29/K$3+L29/L$3)/1000</f>
        <v>5.43872180451128</v>
      </c>
      <c r="N29" s="25" t="n">
        <f aca="false">+1/M29</f>
        <v>0.183866731181309</v>
      </c>
      <c r="O29" s="33" t="n">
        <f aca="false">+N29</f>
        <v>0.183866731181309</v>
      </c>
      <c r="P29" s="33" t="n">
        <f aca="false">1+P$3</f>
        <v>1.15</v>
      </c>
      <c r="Q29" s="34" t="n">
        <v>4</v>
      </c>
      <c r="R29" s="34" t="n">
        <v>6</v>
      </c>
      <c r="S29" s="34" t="n">
        <f aca="false">+Q29*R29</f>
        <v>24</v>
      </c>
      <c r="T29" s="34" t="n">
        <f aca="false">S29</f>
        <v>24</v>
      </c>
      <c r="U29" s="35" t="n">
        <f aca="false">+O29*P29*T29</f>
        <v>5.07472178060413</v>
      </c>
      <c r="V29" s="37" t="n">
        <f aca="false">V$3</f>
        <v>21</v>
      </c>
      <c r="W29" s="37" t="n">
        <f aca="false">+$W$3</f>
        <v>8</v>
      </c>
      <c r="X29" s="37" t="n">
        <f aca="false">+W29-V29</f>
        <v>-13</v>
      </c>
      <c r="Y29" s="38" t="n">
        <f aca="false">U29*X29</f>
        <v>-65.9713831478537</v>
      </c>
      <c r="Z29" s="39" t="n">
        <f aca="false">$Z$3*Y29/1000</f>
        <v>-577.909316375199</v>
      </c>
      <c r="AA29" s="40" t="n">
        <f aca="false">(1+AA$3)*Z29</f>
        <v>-679.043446740859</v>
      </c>
    </row>
    <row r="30" s="19" customFormat="true" ht="12.8" hidden="false" customHeight="true" outlineLevel="0" collapsed="false">
      <c r="A30" s="18" t="s">
        <v>58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25"/>
      <c r="N30" s="26"/>
      <c r="O30" s="27"/>
      <c r="P30" s="28"/>
      <c r="Q30" s="28"/>
      <c r="R30" s="28"/>
      <c r="S30" s="28"/>
      <c r="T30" s="35"/>
      <c r="U30" s="37"/>
      <c r="V30" s="37"/>
      <c r="W30" s="29"/>
      <c r="X30" s="30"/>
      <c r="Y30" s="38"/>
      <c r="Z30" s="38"/>
      <c r="AA30" s="46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s="41" customFormat="true" ht="12.8" hidden="false" customHeight="true" outlineLevel="0" collapsed="false">
      <c r="A31" s="32" t="s">
        <v>59</v>
      </c>
      <c r="B31" s="32" t="n">
        <v>117</v>
      </c>
      <c r="C31" s="32"/>
      <c r="D31" s="32" t="n">
        <v>90</v>
      </c>
      <c r="E31" s="32"/>
      <c r="F31" s="32"/>
      <c r="G31" s="32"/>
      <c r="H31" s="32"/>
      <c r="I31" s="32"/>
      <c r="J31" s="32"/>
      <c r="K31" s="32"/>
      <c r="L31" s="32"/>
      <c r="M31" s="25" t="n">
        <f aca="false">+(B31/B$3+C31/C$3+D31/D$3+E31/E$3+F31/F$3+G31/G$3+H31/H$3+I31/I$3+J31/J$3+K31/K$3+L31/L$3)/1000</f>
        <v>3.20413533834586</v>
      </c>
      <c r="N31" s="25" t="n">
        <f aca="false">+1/M31</f>
        <v>0.31209667957292</v>
      </c>
      <c r="O31" s="33" t="n">
        <f aca="false">+N31</f>
        <v>0.31209667957292</v>
      </c>
      <c r="P31" s="33" t="n">
        <f aca="false">1+P$3</f>
        <v>1.15</v>
      </c>
      <c r="Q31" s="34" t="n">
        <f aca="false">+2.6+2.6+3.4</f>
        <v>8.6</v>
      </c>
      <c r="R31" s="34" t="n">
        <v>2.5</v>
      </c>
      <c r="S31" s="34" t="n">
        <f aca="false">+Q31*R31</f>
        <v>21.5</v>
      </c>
      <c r="T31" s="34" t="n">
        <f aca="false">+S31-S32-S35</f>
        <v>9.7</v>
      </c>
      <c r="U31" s="35" t="n">
        <f aca="false">+O31*T31</f>
        <v>3.02733779185733</v>
      </c>
      <c r="V31" s="37" t="n">
        <f aca="false">V$3</f>
        <v>21</v>
      </c>
      <c r="W31" s="37" t="n">
        <f aca="false">+$W$3</f>
        <v>8</v>
      </c>
      <c r="X31" s="37" t="n">
        <f aca="false">+W31-V31</f>
        <v>-13</v>
      </c>
      <c r="Y31" s="38" t="n">
        <f aca="false">+O31*T31*X31</f>
        <v>-39.3553912941453</v>
      </c>
      <c r="Z31" s="39" t="n">
        <f aca="false">$Z$3*Y31/1000</f>
        <v>-344.753227736712</v>
      </c>
      <c r="AA31" s="40" t="n">
        <f aca="false">(1+AA$3)*Z31</f>
        <v>-405.085042590637</v>
      </c>
      <c r="AB31" s="47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s="41" customFormat="true" ht="23.85" hidden="false" customHeight="true" outlineLevel="0" collapsed="false">
      <c r="A32" s="32" t="s">
        <v>60</v>
      </c>
      <c r="B32" s="32"/>
      <c r="C32" s="32"/>
      <c r="D32" s="32"/>
      <c r="E32" s="32"/>
      <c r="F32" s="32"/>
      <c r="G32" s="32"/>
      <c r="H32" s="32"/>
      <c r="I32" s="32"/>
      <c r="J32" s="32"/>
      <c r="K32" s="32" t="n">
        <v>5</v>
      </c>
      <c r="L32" s="32" t="n">
        <v>4</v>
      </c>
      <c r="M32" s="25" t="n">
        <f aca="false">+(B32/B$3+C32/C$3+D32/D$3+E32/E$3+F32/F$3+G32/G$3+H32/H$3+I32/I$3+J32/J$3+K32/K$3+L32/L$3)/1000</f>
        <v>0.710955710955711</v>
      </c>
      <c r="N32" s="25" t="n">
        <f aca="false">+1/M32</f>
        <v>1.40655737704918</v>
      </c>
      <c r="O32" s="33" t="n">
        <f aca="false">+N32</f>
        <v>1.40655737704918</v>
      </c>
      <c r="P32" s="33" t="n">
        <f aca="false">1</f>
        <v>1</v>
      </c>
      <c r="Q32" s="34" t="n">
        <v>7</v>
      </c>
      <c r="R32" s="34" t="n">
        <v>1.4</v>
      </c>
      <c r="S32" s="34" t="n">
        <f aca="false">+Q32*R32</f>
        <v>9.8</v>
      </c>
      <c r="T32" s="34" t="n">
        <f aca="false">+S32</f>
        <v>9.8</v>
      </c>
      <c r="U32" s="35" t="n">
        <f aca="false">+O32*T32</f>
        <v>13.784262295082</v>
      </c>
      <c r="V32" s="37" t="n">
        <f aca="false">V$3</f>
        <v>21</v>
      </c>
      <c r="W32" s="37" t="n">
        <f aca="false">+$W$3</f>
        <v>8</v>
      </c>
      <c r="X32" s="37" t="n">
        <f aca="false">+W32-V32</f>
        <v>-13</v>
      </c>
      <c r="Y32" s="38" t="n">
        <f aca="false">+O32*T32*X32</f>
        <v>-179.195409836066</v>
      </c>
      <c r="Z32" s="39" t="n">
        <f aca="false">$Z$3*Y32/1000</f>
        <v>-1569.75179016393</v>
      </c>
      <c r="AA32" s="40" t="n">
        <f aca="false">(1+AA$3)*Z32</f>
        <v>-1844.45835344262</v>
      </c>
      <c r="AB32" s="47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s="41" customFormat="true" ht="12.8" hidden="false" customHeight="true" outlineLevel="0" collapsed="false">
      <c r="A33" s="32" t="s">
        <v>61</v>
      </c>
      <c r="B33" s="32" t="n">
        <f aca="false">+17+22</f>
        <v>39</v>
      </c>
      <c r="C33" s="32"/>
      <c r="D33" s="32" t="n">
        <v>200</v>
      </c>
      <c r="E33" s="32"/>
      <c r="F33" s="32"/>
      <c r="G33" s="32"/>
      <c r="H33" s="32"/>
      <c r="I33" s="32"/>
      <c r="J33" s="32"/>
      <c r="K33" s="32"/>
      <c r="L33" s="32"/>
      <c r="M33" s="25" t="n">
        <f aca="false">+(B33/B$3+C33/C$3+D33/D$3+E33/E$3+F33/F$3+G33/G$3+H33/H$3+I33/I$3+J33/J$3+K33/K$3+L33/L$3)/1000</f>
        <v>5.54172932330827</v>
      </c>
      <c r="N33" s="25" t="n">
        <f aca="false">+1/M33</f>
        <v>0.180449087578862</v>
      </c>
      <c r="O33" s="33" t="n">
        <f aca="false">+N33</f>
        <v>0.180449087578862</v>
      </c>
      <c r="P33" s="33" t="n">
        <f aca="false">1+P$3</f>
        <v>1.15</v>
      </c>
      <c r="Q33" s="34" t="n">
        <v>2.5</v>
      </c>
      <c r="R33" s="34" t="n">
        <v>3.5</v>
      </c>
      <c r="S33" s="34" t="n">
        <f aca="false">+Q33*R33</f>
        <v>8.75</v>
      </c>
      <c r="T33" s="34" t="n">
        <f aca="false">+S33</f>
        <v>8.75</v>
      </c>
      <c r="U33" s="35" t="n">
        <f aca="false">+O33*T33</f>
        <v>1.57892951631504</v>
      </c>
      <c r="V33" s="37" t="n">
        <f aca="false">V$3</f>
        <v>21</v>
      </c>
      <c r="W33" s="37" t="n">
        <f aca="false">+$W$3</f>
        <v>8</v>
      </c>
      <c r="X33" s="37" t="n">
        <f aca="false">+W33-V33</f>
        <v>-13</v>
      </c>
      <c r="Y33" s="38" t="n">
        <f aca="false">+O33*T33*X33</f>
        <v>-20.5260837120955</v>
      </c>
      <c r="Z33" s="39" t="n">
        <f aca="false">$Z$3*Y33/1000</f>
        <v>-179.808493317957</v>
      </c>
      <c r="AA33" s="40" t="n">
        <f aca="false">(1+AA$3)*Z33</f>
        <v>-211.274979648599</v>
      </c>
      <c r="AB33" s="47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41" customFormat="true" ht="18.2" hidden="false" customHeight="true" outlineLevel="0" collapsed="false">
      <c r="A34" s="32" t="s">
        <v>62</v>
      </c>
      <c r="B34" s="32" t="n">
        <v>25</v>
      </c>
      <c r="C34" s="32"/>
      <c r="D34" s="32" t="n">
        <v>195</v>
      </c>
      <c r="E34" s="32"/>
      <c r="F34" s="32"/>
      <c r="G34" s="32"/>
      <c r="H34" s="32"/>
      <c r="I34" s="32"/>
      <c r="J34" s="32"/>
      <c r="K34" s="32"/>
      <c r="L34" s="32"/>
      <c r="M34" s="25" t="n">
        <f aca="false">+(B34/B$3+C34/C$3+D34/D$3+E34/E$3+F34/F$3+G34/G$3+H34/H$3+I34/I$3+J34/J$3+K34/K$3+L34/L$3)/1000</f>
        <v>5.31015037593985</v>
      </c>
      <c r="N34" s="25" t="n">
        <f aca="false">+1/M34</f>
        <v>0.188318584070796</v>
      </c>
      <c r="O34" s="33" t="n">
        <f aca="false">+N34</f>
        <v>0.188318584070796</v>
      </c>
      <c r="P34" s="33" t="n">
        <f aca="false">1+P$3</f>
        <v>1.15</v>
      </c>
      <c r="Q34" s="34" t="n">
        <v>2.5</v>
      </c>
      <c r="R34" s="34" t="n">
        <v>3.5</v>
      </c>
      <c r="S34" s="34" t="n">
        <f aca="false">+Q34*R34</f>
        <v>8.75</v>
      </c>
      <c r="T34" s="34" t="n">
        <f aca="false">+S34</f>
        <v>8.75</v>
      </c>
      <c r="U34" s="35" t="n">
        <f aca="false">+O34*T34</f>
        <v>1.64778761061947</v>
      </c>
      <c r="V34" s="37" t="n">
        <f aca="false">V$3</f>
        <v>21</v>
      </c>
      <c r="W34" s="37" t="n">
        <f aca="false">+$W$3</f>
        <v>8</v>
      </c>
      <c r="X34" s="37" t="n">
        <f aca="false">+W34-V34</f>
        <v>-13</v>
      </c>
      <c r="Y34" s="38" t="n">
        <f aca="false">+O34*T34*X34</f>
        <v>-21.4212389380531</v>
      </c>
      <c r="Z34" s="39" t="n">
        <f aca="false">$Z$3*Y34/1000</f>
        <v>-187.650053097345</v>
      </c>
      <c r="AA34" s="40" t="n">
        <f aca="false">(1+AA$3)*Z34</f>
        <v>-220.488812389381</v>
      </c>
      <c r="AB34" s="47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2.8" hidden="false" customHeight="true" outlineLevel="0" collapsed="false">
      <c r="A35" s="32" t="s">
        <v>63</v>
      </c>
      <c r="B35" s="32" t="n">
        <v>60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25" t="n">
        <f aca="false">+(B35/B$3+C35/C$3+D35/D$3+E35/E$3+F35/F$3+G35/G$3+H35/H$3+I35/I$3+J35/J$3+K35/K$3+L35/L$3)/1000</f>
        <v>0.428571428571429</v>
      </c>
      <c r="N35" s="25" t="n">
        <f aca="false">+1/M35</f>
        <v>2.33333333333333</v>
      </c>
      <c r="O35" s="33" t="n">
        <f aca="false">+N35</f>
        <v>2.33333333333333</v>
      </c>
      <c r="P35" s="33" t="n">
        <f aca="false">1</f>
        <v>1</v>
      </c>
      <c r="Q35" s="34" t="n">
        <v>1</v>
      </c>
      <c r="R35" s="34" t="n">
        <v>2</v>
      </c>
      <c r="S35" s="34" t="n">
        <f aca="false">+Q35*R35</f>
        <v>2</v>
      </c>
      <c r="T35" s="34" t="n">
        <f aca="false">+S35</f>
        <v>2</v>
      </c>
      <c r="U35" s="35" t="n">
        <f aca="false">+O35*T35</f>
        <v>4.66666666666667</v>
      </c>
      <c r="V35" s="37" t="n">
        <f aca="false">V$3</f>
        <v>21</v>
      </c>
      <c r="W35" s="37" t="n">
        <f aca="false">+$W$3</f>
        <v>8</v>
      </c>
      <c r="X35" s="37" t="n">
        <f aca="false">+W35-V35</f>
        <v>-13</v>
      </c>
      <c r="Y35" s="38" t="n">
        <f aca="false">+O35*T35*X35</f>
        <v>-60.6666666666667</v>
      </c>
      <c r="Z35" s="39" t="n">
        <f aca="false">$Z$3*Y35/1000</f>
        <v>-531.44</v>
      </c>
      <c r="AA35" s="40" t="n">
        <f aca="false">(1+AA$3)*Z35</f>
        <v>-624.442</v>
      </c>
      <c r="AB35" s="40"/>
    </row>
    <row r="36" s="44" customFormat="true" ht="12.8" hidden="false" customHeight="false" outlineLevel="0" collapsed="false">
      <c r="A36" s="18" t="s">
        <v>64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43"/>
      <c r="Q36" s="43"/>
      <c r="R36" s="43"/>
      <c r="S36" s="43"/>
      <c r="T36" s="42"/>
      <c r="U36" s="35"/>
      <c r="V36" s="42"/>
      <c r="W36" s="37"/>
      <c r="X36" s="42"/>
      <c r="Y36" s="38"/>
    </row>
    <row r="37" s="41" customFormat="true" ht="12.8" hidden="false" customHeight="true" outlineLevel="0" collapsed="false">
      <c r="A37" s="32" t="s">
        <v>61</v>
      </c>
      <c r="B37" s="32" t="n">
        <f aca="false">15+17</f>
        <v>32</v>
      </c>
      <c r="C37" s="0"/>
      <c r="D37" s="48" t="n">
        <v>300</v>
      </c>
      <c r="E37" s="32"/>
      <c r="F37" s="32"/>
      <c r="G37" s="32"/>
      <c r="H37" s="32"/>
      <c r="I37" s="32"/>
      <c r="J37" s="32"/>
      <c r="K37" s="32"/>
      <c r="L37" s="32"/>
      <c r="M37" s="25" t="n">
        <f aca="false">+(B37/B$3+D37/C$3+D37/D$3+E37/E$3+F37/F$3+G37/G$3+H37/H$3+J37/I$3+K37/J$3+L37/K$3)/1000</f>
        <v>14.1233082706767</v>
      </c>
      <c r="N37" s="25" t="n">
        <f aca="false">+1/M37</f>
        <v>0.0708049403747871</v>
      </c>
      <c r="O37" s="33" t="n">
        <f aca="false">+N37</f>
        <v>0.0708049403747871</v>
      </c>
      <c r="P37" s="33" t="n">
        <f aca="false">1</f>
        <v>1</v>
      </c>
      <c r="Q37" s="34" t="n">
        <v>4</v>
      </c>
      <c r="R37" s="34" t="n">
        <v>8</v>
      </c>
      <c r="S37" s="34" t="n">
        <f aca="false">+Q37*R37</f>
        <v>32</v>
      </c>
      <c r="T37" s="34" t="n">
        <f aca="false">S37</f>
        <v>32</v>
      </c>
      <c r="U37" s="35" t="n">
        <f aca="false">+O37*P37*T37</f>
        <v>2.26575809199319</v>
      </c>
      <c r="V37" s="37" t="n">
        <f aca="false">V$3</f>
        <v>21</v>
      </c>
      <c r="W37" s="37" t="n">
        <f aca="false">+$W$3</f>
        <v>8</v>
      </c>
      <c r="X37" s="37" t="n">
        <f aca="false">+W37-V37</f>
        <v>-13</v>
      </c>
      <c r="Y37" s="38" t="n">
        <f aca="false">U37*X37</f>
        <v>-29.4548551959114</v>
      </c>
      <c r="Z37" s="39" t="n">
        <f aca="false">$Z$3*Y37/1000</f>
        <v>-258.024531516184</v>
      </c>
      <c r="AA37" s="40" t="n">
        <f aca="false">(1+AA$3)*Z37</f>
        <v>-303.178824531516</v>
      </c>
      <c r="AB37" s="0"/>
      <c r="AC37" s="0"/>
      <c r="AD37" s="0"/>
      <c r="AE37" s="0"/>
      <c r="AF37" s="0"/>
      <c r="AME37" s="0"/>
      <c r="AMF37" s="0"/>
      <c r="AMG37" s="0"/>
      <c r="AMH37" s="0"/>
      <c r="AMI37" s="0"/>
      <c r="AMJ37" s="0"/>
    </row>
    <row r="38" customFormat="false" ht="12.8" hidden="false" customHeight="true" outlineLevel="0" collapsed="false">
      <c r="A38" s="32" t="s">
        <v>59</v>
      </c>
      <c r="B38" s="32" t="n">
        <f aca="false">+15+22</f>
        <v>37</v>
      </c>
      <c r="C38" s="0"/>
      <c r="D38" s="48" t="n">
        <f aca="false">+145+45</f>
        <v>190</v>
      </c>
      <c r="E38" s="0"/>
      <c r="F38" s="32" t="n">
        <v>10</v>
      </c>
      <c r="G38" s="32"/>
      <c r="H38" s="32"/>
      <c r="I38" s="32"/>
      <c r="J38" s="32"/>
      <c r="K38" s="32"/>
      <c r="L38" s="32"/>
      <c r="M38" s="25" t="n">
        <f aca="false">+(B38/B$3+D38/C$3+D38/D$3+E38/E$3+F38/F$3+G38/G$3+H38/H$3+J38/I$3+K38/J$3+L38/K$3)/1000</f>
        <v>9.10428571428571</v>
      </c>
      <c r="N38" s="25" t="n">
        <f aca="false">+1/M38</f>
        <v>0.109838380668445</v>
      </c>
      <c r="O38" s="33" t="n">
        <f aca="false">+N38</f>
        <v>0.109838380668445</v>
      </c>
      <c r="P38" s="33" t="n">
        <f aca="false">1+P$3</f>
        <v>1.15</v>
      </c>
      <c r="Q38" s="34" t="n">
        <v>16</v>
      </c>
      <c r="R38" s="34" t="n">
        <v>2.5</v>
      </c>
      <c r="S38" s="34" t="n">
        <f aca="false">+Q38*R38</f>
        <v>40</v>
      </c>
      <c r="T38" s="34" t="n">
        <f aca="false">S38-S40-S41-S39</f>
        <v>25.084</v>
      </c>
      <c r="U38" s="35" t="n">
        <f aca="false">+O38*P38*T38</f>
        <v>3.16846383179037</v>
      </c>
      <c r="V38" s="37" t="n">
        <f aca="false">V$3</f>
        <v>21</v>
      </c>
      <c r="W38" s="37" t="n">
        <f aca="false">+$W$3</f>
        <v>8</v>
      </c>
      <c r="X38" s="37" t="n">
        <f aca="false">+W38-V38</f>
        <v>-13</v>
      </c>
      <c r="Y38" s="38" t="n">
        <f aca="false">U38*X38</f>
        <v>-41.1900298132747</v>
      </c>
      <c r="Z38" s="39" t="n">
        <f aca="false">$Z$3*Y38/1000</f>
        <v>-360.824661164287</v>
      </c>
      <c r="AA38" s="40" t="n">
        <f aca="false">(1+AA$3)*Z38</f>
        <v>-423.968976868037</v>
      </c>
    </row>
    <row r="39" customFormat="false" ht="12.8" hidden="false" customHeight="true" outlineLevel="0" collapsed="false">
      <c r="A39" s="32" t="s">
        <v>65</v>
      </c>
      <c r="B39" s="32" t="n">
        <f aca="false">+37+145+45</f>
        <v>227</v>
      </c>
      <c r="C39" s="0"/>
      <c r="D39" s="48"/>
      <c r="E39" s="0"/>
      <c r="F39" s="32" t="n">
        <v>10</v>
      </c>
      <c r="G39" s="32"/>
      <c r="H39" s="32"/>
      <c r="I39" s="32"/>
      <c r="J39" s="32"/>
      <c r="K39" s="32"/>
      <c r="L39" s="32"/>
      <c r="M39" s="25" t="n">
        <f aca="false">+(B39/B$3+D39/C$3+D39/D$3+E39/E$3+F39/F$3+G39/G$3+H39/H$3+J39/I$3+K39/J$3+L39/K$3)/1000</f>
        <v>1.66142857142857</v>
      </c>
      <c r="N39" s="25" t="n">
        <f aca="false">+1/M39</f>
        <v>0.60189165950129</v>
      </c>
      <c r="O39" s="33" t="n">
        <f aca="false">+N39</f>
        <v>0.60189165950129</v>
      </c>
      <c r="P39" s="33" t="n">
        <f aca="false">1+P$3</f>
        <v>1.15</v>
      </c>
      <c r="Q39" s="34" t="n">
        <f aca="false">0.13</f>
        <v>0.13</v>
      </c>
      <c r="R39" s="34" t="n">
        <f aca="false">+8*1.4+4*0.5</f>
        <v>13.2</v>
      </c>
      <c r="S39" s="34" t="n">
        <f aca="false">+Q39*R39</f>
        <v>1.716</v>
      </c>
      <c r="T39" s="34" t="n">
        <f aca="false">S39</f>
        <v>1.716</v>
      </c>
      <c r="U39" s="35" t="n">
        <f aca="false">+O39*P39*T39</f>
        <v>1.18777300085985</v>
      </c>
      <c r="V39" s="37" t="n">
        <f aca="false">V$3</f>
        <v>21</v>
      </c>
      <c r="W39" s="37" t="n">
        <f aca="false">+$W$3</f>
        <v>8</v>
      </c>
      <c r="X39" s="37" t="n">
        <f aca="false">+W39-V39</f>
        <v>-13</v>
      </c>
      <c r="Y39" s="38" t="n">
        <f aca="false">U39*X39</f>
        <v>-15.441049011178</v>
      </c>
      <c r="Z39" s="39" t="n">
        <f aca="false">$Z$3*Y39/1000</f>
        <v>-135.263589337919</v>
      </c>
      <c r="AA39" s="40" t="n">
        <f aca="false">(1+AA$3)*Z39</f>
        <v>-158.934717472055</v>
      </c>
    </row>
    <row r="40" customFormat="false" ht="12.8" hidden="false" customHeight="true" outlineLevel="0" collapsed="false">
      <c r="A40" s="32" t="s">
        <v>66</v>
      </c>
      <c r="B40" s="32"/>
      <c r="C40" s="0"/>
      <c r="D40" s="48"/>
      <c r="E40" s="32"/>
      <c r="F40" s="32"/>
      <c r="G40" s="32"/>
      <c r="H40" s="32"/>
      <c r="I40" s="32"/>
      <c r="J40" s="32" t="n">
        <v>24</v>
      </c>
      <c r="K40" s="32" t="n">
        <v>8</v>
      </c>
      <c r="L40" s="32" t="n">
        <v>4</v>
      </c>
      <c r="M40" s="25" t="n">
        <f aca="false">+(B40/B$3+D40/C$3+D40/D$3+E40/E$3+F40/F$3+G40/G$3+H40/H$3+J40/I$3+K40/J$3+L40/K$3)/1000</f>
        <v>0.871328671328671</v>
      </c>
      <c r="N40" s="25" t="n">
        <f aca="false">+1/M40</f>
        <v>1.14767255216693</v>
      </c>
      <c r="O40" s="33" t="n">
        <v>1.1</v>
      </c>
      <c r="P40" s="33" t="n">
        <f aca="false">1</f>
        <v>1</v>
      </c>
      <c r="Q40" s="34" t="n">
        <v>8</v>
      </c>
      <c r="R40" s="34" t="n">
        <v>1.4</v>
      </c>
      <c r="S40" s="34" t="n">
        <f aca="false">+Q40*R40</f>
        <v>11.2</v>
      </c>
      <c r="T40" s="34" t="n">
        <f aca="false">S40</f>
        <v>11.2</v>
      </c>
      <c r="U40" s="35" t="n">
        <f aca="false">+O40*P40*T40</f>
        <v>12.32</v>
      </c>
      <c r="V40" s="37" t="n">
        <f aca="false">V$3</f>
        <v>21</v>
      </c>
      <c r="W40" s="37" t="n">
        <f aca="false">+$W$3</f>
        <v>8</v>
      </c>
      <c r="X40" s="37" t="n">
        <f aca="false">+W40-V40</f>
        <v>-13</v>
      </c>
      <c r="Y40" s="38" t="n">
        <f aca="false">U40*X40</f>
        <v>-160.16</v>
      </c>
      <c r="Z40" s="39" t="n">
        <f aca="false">$Z$3*Y40/1000</f>
        <v>-1403.0016</v>
      </c>
      <c r="AA40" s="40" t="n">
        <f aca="false">(1+AA$3)*Z40</f>
        <v>-1648.52688</v>
      </c>
    </row>
    <row r="41" customFormat="false" ht="12.8" hidden="false" customHeight="true" outlineLevel="0" collapsed="false">
      <c r="A41" s="32" t="s">
        <v>67</v>
      </c>
      <c r="B41" s="32"/>
      <c r="C41" s="0"/>
      <c r="D41" s="48"/>
      <c r="E41" s="32"/>
      <c r="F41" s="32"/>
      <c r="G41" s="32"/>
      <c r="H41" s="32"/>
      <c r="I41" s="32"/>
      <c r="J41" s="32" t="n">
        <v>24</v>
      </c>
      <c r="K41" s="32" t="n">
        <v>8</v>
      </c>
      <c r="L41" s="32" t="n">
        <v>4</v>
      </c>
      <c r="M41" s="25" t="n">
        <f aca="false">+(B41/B$3+D41/C$3+D41/D$3+E41/E$3+F41/F$3+G41/G$3+H41/H$3+J41/I$3+K41/J$3+L41/K$3)/1000</f>
        <v>0.871328671328671</v>
      </c>
      <c r="N41" s="25" t="n">
        <f aca="false">+1/M41</f>
        <v>1.14767255216693</v>
      </c>
      <c r="O41" s="33" t="n">
        <v>1.1</v>
      </c>
      <c r="P41" s="33" t="n">
        <f aca="false">1</f>
        <v>1</v>
      </c>
      <c r="Q41" s="34" t="n">
        <v>4</v>
      </c>
      <c r="R41" s="34" t="n">
        <v>0.5</v>
      </c>
      <c r="S41" s="34" t="n">
        <f aca="false">+Q41*R41</f>
        <v>2</v>
      </c>
      <c r="T41" s="34" t="n">
        <f aca="false">S41</f>
        <v>2</v>
      </c>
      <c r="U41" s="35" t="n">
        <f aca="false">+O41*P41*T41</f>
        <v>2.2</v>
      </c>
      <c r="V41" s="37" t="n">
        <f aca="false">V$3</f>
        <v>21</v>
      </c>
      <c r="W41" s="37" t="n">
        <f aca="false">+$W$3</f>
        <v>8</v>
      </c>
      <c r="X41" s="37" t="n">
        <f aca="false">+W41-V41</f>
        <v>-13</v>
      </c>
      <c r="Y41" s="38" t="n">
        <f aca="false">U41*X41</f>
        <v>-28.6</v>
      </c>
      <c r="Z41" s="39" t="n">
        <f aca="false">$Z$3*Y41/1000</f>
        <v>-250.536</v>
      </c>
      <c r="AA41" s="40" t="n">
        <f aca="false">(1+AA$3)*Z41</f>
        <v>-294.3798</v>
      </c>
    </row>
    <row r="42" customFormat="false" ht="12.8" hidden="false" customHeight="true" outlineLevel="0" collapsed="false">
      <c r="A42" s="32" t="s">
        <v>68</v>
      </c>
      <c r="B42" s="32" t="n">
        <f aca="false">+15+22+13</f>
        <v>50</v>
      </c>
      <c r="C42" s="0"/>
      <c r="D42" s="48" t="n">
        <v>220</v>
      </c>
      <c r="E42" s="32"/>
      <c r="F42" s="32"/>
      <c r="G42" s="32"/>
      <c r="H42" s="32"/>
      <c r="I42" s="32"/>
      <c r="J42" s="32"/>
      <c r="K42" s="32"/>
      <c r="L42" s="32"/>
      <c r="M42" s="25" t="n">
        <f aca="false">+(B42/B$3+D42/C$3+D42/D$3+E42/E$3+F42/F$3+G42/G$3+H42/H$3+J42/I$3+K42/J$3+L42/K$3)/1000</f>
        <v>10.5466165413534</v>
      </c>
      <c r="N42" s="25" t="n">
        <f aca="false">+1/M42</f>
        <v>0.0948171383759892</v>
      </c>
      <c r="O42" s="33" t="n">
        <f aca="false">+N42</f>
        <v>0.0948171383759892</v>
      </c>
      <c r="P42" s="33" t="n">
        <f aca="false">1+P$3</f>
        <v>1.15</v>
      </c>
      <c r="Q42" s="34" t="n">
        <v>4</v>
      </c>
      <c r="R42" s="34" t="n">
        <v>8</v>
      </c>
      <c r="S42" s="34" t="n">
        <f aca="false">+Q42*R42</f>
        <v>32</v>
      </c>
      <c r="T42" s="34" t="n">
        <f aca="false">S42</f>
        <v>32</v>
      </c>
      <c r="U42" s="35" t="n">
        <f aca="false">+O42*P42*T42</f>
        <v>3.4892706922364</v>
      </c>
      <c r="V42" s="37" t="n">
        <f aca="false">V$3+3</f>
        <v>24</v>
      </c>
      <c r="W42" s="37" t="n">
        <f aca="false">+$W$3+2</f>
        <v>10</v>
      </c>
      <c r="X42" s="37" t="n">
        <f aca="false">+W42-V42</f>
        <v>-14</v>
      </c>
      <c r="Y42" s="38" t="n">
        <f aca="false">U42*X42</f>
        <v>-48.8497896913096</v>
      </c>
      <c r="Z42" s="39" t="n">
        <f aca="false">$Z$3*Y42/1000</f>
        <v>-427.924157695872</v>
      </c>
      <c r="AA42" s="40" t="n">
        <f aca="false">(1+AA$3)*Z42</f>
        <v>-502.81088529265</v>
      </c>
    </row>
    <row r="43" customFormat="false" ht="12.8" hidden="false" customHeight="false" outlineLevel="0" collapsed="false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35"/>
      <c r="V43" s="0"/>
      <c r="W43" s="37"/>
      <c r="X43" s="0"/>
      <c r="Y43" s="0"/>
    </row>
    <row r="44" s="53" customFormat="true" ht="15" hidden="false" customHeight="false" outlineLevel="0" collapsed="false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1"/>
      <c r="P44" s="51"/>
      <c r="Q44" s="51"/>
      <c r="R44" s="51"/>
      <c r="S44" s="51"/>
      <c r="T44" s="50"/>
      <c r="U44" s="35"/>
      <c r="V44" s="50"/>
      <c r="W44" s="37"/>
      <c r="X44" s="50"/>
      <c r="Y44" s="0"/>
      <c r="Z44" s="0"/>
      <c r="AA44" s="0"/>
      <c r="AB44" s="52"/>
      <c r="AC44" s="52"/>
      <c r="AD44" s="52"/>
    </row>
    <row r="45" customFormat="false" ht="12.8" hidden="false" customHeight="false" outlineLevel="0" collapsed="false">
      <c r="U45" s="35"/>
      <c r="W45" s="37"/>
      <c r="Y45" s="0"/>
    </row>
    <row r="46" customFormat="false" ht="12.8" hidden="false" customHeight="false" outlineLevel="0" collapsed="false">
      <c r="U46" s="35"/>
      <c r="W46" s="37"/>
      <c r="Y46" s="38"/>
    </row>
    <row r="47" customFormat="false" ht="12.8" hidden="false" customHeight="false" outlineLevel="0" collapsed="false">
      <c r="U47" s="35"/>
      <c r="W47" s="37"/>
      <c r="Y47" s="38"/>
    </row>
    <row r="48" customFormat="false" ht="12.8" hidden="false" customHeight="false" outlineLevel="0" collapsed="false">
      <c r="U48" s="35"/>
      <c r="W48" s="37"/>
      <c r="Y48" s="38"/>
    </row>
    <row r="49" customFormat="false" ht="12.8" hidden="false" customHeight="false" outlineLevel="0" collapsed="false">
      <c r="Y49" s="38"/>
    </row>
    <row r="50" customFormat="false" ht="12.8" hidden="false" customHeight="false" outlineLevel="0" collapsed="false">
      <c r="Y50" s="38"/>
    </row>
    <row r="51" customFormat="false" ht="12.8" hidden="false" customHeight="false" outlineLevel="0" collapsed="false">
      <c r="Y51" s="38"/>
    </row>
    <row r="52" customFormat="false" ht="12.8" hidden="false" customHeight="false" outlineLevel="0" collapsed="false">
      <c r="Y52" s="38"/>
    </row>
    <row r="53" customFormat="false" ht="12.8" hidden="false" customHeight="false" outlineLevel="0" collapsed="false">
      <c r="Y53" s="38"/>
    </row>
    <row r="54" customFormat="false" ht="12.8" hidden="false" customHeight="false" outlineLevel="0" collapsed="false">
      <c r="Y54" s="38"/>
    </row>
    <row r="55" customFormat="false" ht="12.8" hidden="false" customHeight="false" outlineLevel="0" collapsed="false">
      <c r="Y55" s="38"/>
    </row>
    <row r="56" customFormat="false" ht="12.8" hidden="false" customHeight="false" outlineLevel="0" collapsed="false">
      <c r="Y56" s="38"/>
    </row>
    <row r="57" customFormat="false" ht="12.8" hidden="false" customHeight="false" outlineLevel="0" collapsed="false">
      <c r="Y57" s="38"/>
    </row>
    <row r="58" customFormat="false" ht="12.8" hidden="false" customHeight="false" outlineLevel="0" collapsed="false">
      <c r="Y58" s="38"/>
    </row>
    <row r="59" customFormat="false" ht="12.8" hidden="false" customHeight="false" outlineLevel="0" collapsed="false">
      <c r="Y59" s="38"/>
    </row>
    <row r="60" customFormat="false" ht="12.8" hidden="false" customHeight="false" outlineLevel="0" collapsed="false">
      <c r="Y60" s="38"/>
    </row>
    <row r="61" customFormat="false" ht="12.8" hidden="false" customHeight="false" outlineLevel="0" collapsed="false">
      <c r="Y61" s="38"/>
    </row>
    <row r="62" customFormat="false" ht="12.8" hidden="false" customHeight="false" outlineLevel="0" collapsed="false">
      <c r="Y62" s="38"/>
    </row>
    <row r="63" customFormat="false" ht="12.8" hidden="false" customHeight="false" outlineLevel="0" collapsed="false">
      <c r="Y63" s="38"/>
    </row>
    <row r="64" customFormat="false" ht="12.8" hidden="false" customHeight="false" outlineLevel="0" collapsed="false">
      <c r="Y64" s="38"/>
    </row>
    <row r="65" customFormat="false" ht="12.8" hidden="false" customHeight="false" outlineLevel="0" collapsed="false">
      <c r="Y65" s="38"/>
    </row>
    <row r="66" customFormat="false" ht="12.8" hidden="false" customHeight="false" outlineLevel="0" collapsed="false">
      <c r="Y66" s="38"/>
    </row>
    <row r="67" customFormat="false" ht="12.8" hidden="false" customHeight="false" outlineLevel="0" collapsed="false">
      <c r="Y67" s="38"/>
    </row>
    <row r="68" customFormat="false" ht="12.8" hidden="false" customHeight="false" outlineLevel="0" collapsed="false">
      <c r="Y68" s="38"/>
    </row>
    <row r="69" customFormat="false" ht="12.8" hidden="false" customHeight="false" outlineLevel="0" collapsed="false">
      <c r="Y69" s="38"/>
    </row>
    <row r="70" customFormat="false" ht="12.8" hidden="false" customHeight="false" outlineLevel="0" collapsed="false">
      <c r="Y70" s="38"/>
    </row>
    <row r="71" customFormat="false" ht="12.8" hidden="false" customHeight="false" outlineLevel="0" collapsed="false">
      <c r="Y71" s="38"/>
    </row>
    <row r="72" customFormat="false" ht="12.8" hidden="false" customHeight="false" outlineLevel="0" collapsed="false">
      <c r="Y72" s="38"/>
    </row>
    <row r="73" customFormat="false" ht="12.8" hidden="false" customHeight="false" outlineLevel="0" collapsed="false">
      <c r="Y73" s="38"/>
    </row>
    <row r="74" customFormat="false" ht="12.8" hidden="false" customHeight="false" outlineLevel="0" collapsed="false">
      <c r="Y74" s="38"/>
    </row>
    <row r="75" customFormat="false" ht="12.8" hidden="false" customHeight="false" outlineLevel="0" collapsed="false">
      <c r="Y75" s="38"/>
    </row>
    <row r="76" customFormat="false" ht="12.8" hidden="false" customHeight="false" outlineLevel="0" collapsed="false">
      <c r="Y76" s="38"/>
    </row>
    <row r="77" customFormat="false" ht="12.8" hidden="false" customHeight="false" outlineLevel="0" collapsed="false">
      <c r="Y77" s="38" t="n">
        <f aca="false">+U77*X77</f>
        <v>0</v>
      </c>
    </row>
    <row r="78" customFormat="false" ht="12.8" hidden="false" customHeight="false" outlineLevel="0" collapsed="false">
      <c r="Y78" s="38" t="n">
        <f aca="false">+U78*X78</f>
        <v>0</v>
      </c>
    </row>
    <row r="79" customFormat="false" ht="12.8" hidden="false" customHeight="false" outlineLevel="0" collapsed="false">
      <c r="Y79" s="38" t="n">
        <f aca="false">+U79*X79</f>
        <v>0</v>
      </c>
    </row>
    <row r="80" customFormat="false" ht="12.8" hidden="false" customHeight="false" outlineLevel="0" collapsed="false">
      <c r="Y80" s="38" t="n">
        <f aca="false">+U80*X80</f>
        <v>0</v>
      </c>
    </row>
    <row r="81" customFormat="false" ht="12.8" hidden="false" customHeight="false" outlineLevel="0" collapsed="false">
      <c r="Y81" s="38" t="n">
        <f aca="false">+U81*X81</f>
        <v>0</v>
      </c>
    </row>
    <row r="82" customFormat="false" ht="12.8" hidden="false" customHeight="false" outlineLevel="0" collapsed="false">
      <c r="Y82" s="38" t="n">
        <f aca="false">+U82*X82</f>
        <v>0</v>
      </c>
    </row>
    <row r="83" customFormat="false" ht="12.8" hidden="false" customHeight="false" outlineLevel="0" collapsed="false">
      <c r="Y83" s="38" t="n">
        <f aca="false">+U83*X83</f>
        <v>0</v>
      </c>
    </row>
    <row r="84" customFormat="false" ht="12.8" hidden="false" customHeight="false" outlineLevel="0" collapsed="false">
      <c r="Y84" s="38" t="n">
        <f aca="false">+U84*X84</f>
        <v>0</v>
      </c>
    </row>
    <row r="85" customFormat="false" ht="12.8" hidden="false" customHeight="false" outlineLevel="0" collapsed="false">
      <c r="Y85" s="38" t="n">
        <f aca="false">+U85*X85</f>
        <v>0</v>
      </c>
    </row>
    <row r="86" customFormat="false" ht="12.8" hidden="false" customHeight="false" outlineLevel="0" collapsed="false">
      <c r="Y86" s="38" t="n">
        <f aca="false">+U86*X86</f>
        <v>0</v>
      </c>
    </row>
    <row r="87" customFormat="false" ht="12.8" hidden="false" customHeight="false" outlineLevel="0" collapsed="false">
      <c r="Y87" s="38" t="n">
        <f aca="false">+U87*X87</f>
        <v>0</v>
      </c>
    </row>
    <row r="88" customFormat="false" ht="12.8" hidden="false" customHeight="false" outlineLevel="0" collapsed="false">
      <c r="Y88" s="38" t="n">
        <f aca="false">+U88*X88</f>
        <v>0</v>
      </c>
    </row>
    <row r="89" customFormat="false" ht="12.8" hidden="false" customHeight="false" outlineLevel="0" collapsed="false">
      <c r="Y89" s="38" t="n">
        <f aca="false">+U89*X89</f>
        <v>0</v>
      </c>
    </row>
    <row r="90" customFormat="false" ht="12.8" hidden="false" customHeight="false" outlineLevel="0" collapsed="false">
      <c r="Y90" s="38" t="n">
        <f aca="false">+U90*X90</f>
        <v>0</v>
      </c>
    </row>
    <row r="91" customFormat="false" ht="12.8" hidden="false" customHeight="false" outlineLevel="0" collapsed="false">
      <c r="Y91" s="38" t="n">
        <f aca="false">+U91*X91</f>
        <v>0</v>
      </c>
    </row>
    <row r="92" customFormat="false" ht="12.8" hidden="false" customHeight="false" outlineLevel="0" collapsed="false">
      <c r="Y92" s="38" t="n">
        <f aca="false">+U92*X92</f>
        <v>0</v>
      </c>
    </row>
    <row r="93" customFormat="false" ht="12.8" hidden="false" customHeight="false" outlineLevel="0" collapsed="false">
      <c r="Y93" s="38" t="n">
        <f aca="false">+U93*X93</f>
        <v>0</v>
      </c>
    </row>
    <row r="94" customFormat="false" ht="12.8" hidden="false" customHeight="false" outlineLevel="0" collapsed="false">
      <c r="Y94" s="38" t="n">
        <f aca="false">+U94*X94</f>
        <v>0</v>
      </c>
    </row>
    <row r="95" customFormat="false" ht="12.8" hidden="false" customHeight="false" outlineLevel="0" collapsed="false">
      <c r="Y95" s="38" t="n">
        <f aca="false">+U95*X95</f>
        <v>0</v>
      </c>
    </row>
    <row r="96" customFormat="false" ht="12.8" hidden="false" customHeight="false" outlineLevel="0" collapsed="false">
      <c r="Y96" s="38" t="n">
        <f aca="false">+U96*X96</f>
        <v>0</v>
      </c>
    </row>
    <row r="97" customFormat="false" ht="12.8" hidden="false" customHeight="false" outlineLevel="0" collapsed="false">
      <c r="Y97" s="38" t="n">
        <f aca="false">+U97*X97</f>
        <v>0</v>
      </c>
    </row>
    <row r="98" customFormat="false" ht="12.8" hidden="false" customHeight="false" outlineLevel="0" collapsed="false">
      <c r="Y98" s="38" t="n">
        <f aca="false">+U98*X98</f>
        <v>0</v>
      </c>
    </row>
    <row r="99" customFormat="false" ht="12.8" hidden="false" customHeight="false" outlineLevel="0" collapsed="false">
      <c r="Y99" s="38" t="n">
        <f aca="false">+U99*X99</f>
        <v>0</v>
      </c>
    </row>
    <row r="100" customFormat="false" ht="12.8" hidden="false" customHeight="false" outlineLevel="0" collapsed="false">
      <c r="Y100" s="38" t="n">
        <f aca="false">+U100*X100</f>
        <v>0</v>
      </c>
    </row>
    <row r="101" customFormat="false" ht="12.8" hidden="false" customHeight="false" outlineLevel="0" collapsed="false">
      <c r="Y101" s="38" t="n">
        <f aca="false">+U101*X101</f>
        <v>0</v>
      </c>
    </row>
    <row r="102" customFormat="false" ht="12.8" hidden="false" customHeight="false" outlineLevel="0" collapsed="false">
      <c r="Y102" s="38" t="n">
        <f aca="false">+U102*X102</f>
        <v>0</v>
      </c>
    </row>
    <row r="103" customFormat="false" ht="12.8" hidden="false" customHeight="false" outlineLevel="0" collapsed="false">
      <c r="Y103" s="38" t="n">
        <f aca="false">+U103*X103</f>
        <v>0</v>
      </c>
    </row>
    <row r="104" customFormat="false" ht="12.8" hidden="false" customHeight="false" outlineLevel="0" collapsed="false">
      <c r="Y104" s="38" t="n">
        <f aca="false">+U104*X104</f>
        <v>0</v>
      </c>
    </row>
    <row r="105" customFormat="false" ht="12.8" hidden="false" customHeight="false" outlineLevel="0" collapsed="false">
      <c r="Y105" s="38" t="n">
        <f aca="false">+U105*X105</f>
        <v>0</v>
      </c>
    </row>
    <row r="106" customFormat="false" ht="12.8" hidden="false" customHeight="false" outlineLevel="0" collapsed="false">
      <c r="Y106" s="38" t="n">
        <f aca="false">+U106*X106</f>
        <v>0</v>
      </c>
    </row>
    <row r="107" customFormat="false" ht="12.8" hidden="false" customHeight="false" outlineLevel="0" collapsed="false">
      <c r="Y107" s="38" t="n">
        <f aca="false">+U107*X107</f>
        <v>0</v>
      </c>
    </row>
    <row r="108" customFormat="false" ht="12.8" hidden="false" customHeight="false" outlineLevel="0" collapsed="false">
      <c r="Y108" s="38" t="n">
        <f aca="false">+U108*X108</f>
        <v>0</v>
      </c>
    </row>
    <row r="109" customFormat="false" ht="12.8" hidden="false" customHeight="false" outlineLevel="0" collapsed="false">
      <c r="Y109" s="38" t="n">
        <f aca="false">+U109*X109</f>
        <v>0</v>
      </c>
    </row>
    <row r="110" customFormat="false" ht="12.8" hidden="false" customHeight="false" outlineLevel="0" collapsed="false">
      <c r="Y110" s="38" t="n">
        <f aca="false">+U110*X110</f>
        <v>0</v>
      </c>
    </row>
    <row r="111" customFormat="false" ht="12.8" hidden="false" customHeight="false" outlineLevel="0" collapsed="false">
      <c r="Y111" s="38" t="n">
        <f aca="false">+U111*X111</f>
        <v>0</v>
      </c>
    </row>
    <row r="112" customFormat="false" ht="12.8" hidden="false" customHeight="false" outlineLevel="0" collapsed="false">
      <c r="Y112" s="38" t="n">
        <f aca="false">+U112*X112</f>
        <v>0</v>
      </c>
    </row>
    <row r="113" customFormat="false" ht="12.8" hidden="false" customHeight="false" outlineLevel="0" collapsed="false">
      <c r="Y113" s="38" t="n">
        <f aca="false">+U113*X113</f>
        <v>0</v>
      </c>
    </row>
    <row r="114" customFormat="false" ht="12.8" hidden="false" customHeight="false" outlineLevel="0" collapsed="false">
      <c r="Y114" s="38" t="n">
        <f aca="false">+U114*X114</f>
        <v>0</v>
      </c>
    </row>
    <row r="115" customFormat="false" ht="12.8" hidden="false" customHeight="false" outlineLevel="0" collapsed="false">
      <c r="Y115" s="38" t="n">
        <f aca="false">+U115*X115</f>
        <v>0</v>
      </c>
    </row>
    <row r="116" customFormat="false" ht="12.8" hidden="false" customHeight="false" outlineLevel="0" collapsed="false">
      <c r="Y116" s="38" t="n">
        <f aca="false">+U116*X116</f>
        <v>0</v>
      </c>
    </row>
    <row r="117" customFormat="false" ht="12.8" hidden="false" customHeight="false" outlineLevel="0" collapsed="false">
      <c r="Y117" s="38" t="n">
        <f aca="false">+U117*X117</f>
        <v>0</v>
      </c>
    </row>
    <row r="118" customFormat="false" ht="12.8" hidden="false" customHeight="false" outlineLevel="0" collapsed="false">
      <c r="Y118" s="38" t="n">
        <f aca="false">+U118*X118</f>
        <v>0</v>
      </c>
    </row>
    <row r="119" customFormat="false" ht="12.8" hidden="false" customHeight="false" outlineLevel="0" collapsed="false">
      <c r="Y119" s="38" t="n">
        <f aca="false">+U119*X119</f>
        <v>0</v>
      </c>
    </row>
    <row r="120" customFormat="false" ht="12.8" hidden="false" customHeight="false" outlineLevel="0" collapsed="false">
      <c r="Y120" s="38" t="n">
        <f aca="false">+U120*X120</f>
        <v>0</v>
      </c>
    </row>
    <row r="121" customFormat="false" ht="12.8" hidden="false" customHeight="false" outlineLevel="0" collapsed="false">
      <c r="Y121" s="38" t="n">
        <f aca="false">+U121*X121</f>
        <v>0</v>
      </c>
    </row>
    <row r="122" customFormat="false" ht="12.8" hidden="false" customHeight="false" outlineLevel="0" collapsed="false">
      <c r="Y122" s="38" t="n">
        <f aca="false">+U122*X122</f>
        <v>0</v>
      </c>
    </row>
    <row r="123" customFormat="false" ht="12.8" hidden="false" customHeight="false" outlineLevel="0" collapsed="false">
      <c r="Y123" s="38" t="n">
        <f aca="false">+U123*X123</f>
        <v>0</v>
      </c>
    </row>
    <row r="124" customFormat="false" ht="12.8" hidden="false" customHeight="false" outlineLevel="0" collapsed="false">
      <c r="Y124" s="38" t="n">
        <f aca="false">+U124*X124</f>
        <v>0</v>
      </c>
    </row>
    <row r="125" customFormat="false" ht="12.8" hidden="false" customHeight="false" outlineLevel="0" collapsed="false">
      <c r="Y125" s="38" t="n">
        <f aca="false">+U125*X125</f>
        <v>0</v>
      </c>
    </row>
    <row r="126" customFormat="false" ht="12.8" hidden="false" customHeight="false" outlineLevel="0" collapsed="false">
      <c r="Y126" s="38" t="n">
        <f aca="false">+U126*X126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46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80" zoomScaleNormal="80" zoomScalePageLayoutView="100" workbookViewId="0">
      <selection pane="topLeft" activeCell="A35" activeCellId="0" sqref="A35"/>
    </sheetView>
  </sheetViews>
  <sheetFormatPr defaultRowHeight="12.8"/>
  <cols>
    <col collapsed="false" hidden="false" max="1" min="1" style="0" width="29.25"/>
    <col collapsed="false" hidden="false" max="2" min="2" style="54" width="18.1224489795918"/>
    <col collapsed="false" hidden="false" max="5" min="3" style="0" width="18.1224489795918"/>
    <col collapsed="false" hidden="false" max="6" min="6" style="0" width="25.1173469387755"/>
    <col collapsed="false" hidden="false" max="7" min="7" style="0" width="30.1683673469388"/>
    <col collapsed="false" hidden="false" max="1025" min="8" style="0" width="18.1224489795918"/>
  </cols>
  <sheetData>
    <row r="1" customFormat="false" ht="26.85" hidden="false" customHeight="true" outlineLevel="0" collapsed="false">
      <c r="A1" s="55" t="s">
        <v>69</v>
      </c>
      <c r="B1" s="0"/>
      <c r="F1" s="56"/>
      <c r="G1" s="56"/>
      <c r="H1" s="57"/>
    </row>
    <row r="2" customFormat="false" ht="23.85" hidden="false" customHeight="true" outlineLevel="0" collapsed="false">
      <c r="A2" s="58" t="s">
        <v>70</v>
      </c>
      <c r="B2" s="59" t="s">
        <v>71</v>
      </c>
      <c r="C2" s="60" t="s">
        <v>72</v>
      </c>
      <c r="D2" s="58" t="s">
        <v>73</v>
      </c>
      <c r="E2" s="58"/>
      <c r="F2" s="56" t="n">
        <v>45</v>
      </c>
      <c r="G2" s="56" t="n">
        <v>95</v>
      </c>
      <c r="H2" s="56" t="n">
        <v>195</v>
      </c>
      <c r="I2" s="54" t="n">
        <v>250</v>
      </c>
      <c r="J2" s="0" t="n">
        <v>400</v>
      </c>
    </row>
    <row r="3" customFormat="false" ht="12.8" hidden="false" customHeight="true" outlineLevel="0" collapsed="false">
      <c r="A3" s="58" t="s">
        <v>74</v>
      </c>
      <c r="B3" s="59" t="s">
        <v>75</v>
      </c>
      <c r="C3" s="60" t="s">
        <v>76</v>
      </c>
      <c r="D3" s="58" t="s">
        <v>77</v>
      </c>
      <c r="E3" s="58"/>
      <c r="F3" s="61" t="n">
        <v>0.045</v>
      </c>
      <c r="G3" s="61" t="n">
        <v>0.095</v>
      </c>
      <c r="H3" s="62" t="n">
        <v>0.195</v>
      </c>
      <c r="I3" s="63" t="n">
        <v>0.25</v>
      </c>
      <c r="J3" s="63" t="n">
        <v>0.4</v>
      </c>
    </row>
    <row r="4" customFormat="false" ht="12.8" hidden="false" customHeight="true" outlineLevel="0" collapsed="false">
      <c r="A4" s="58" t="s">
        <v>7</v>
      </c>
      <c r="B4" s="59" t="n">
        <v>200</v>
      </c>
      <c r="C4" s="60" t="n">
        <v>1.7</v>
      </c>
      <c r="D4" s="58" t="n">
        <v>8.5</v>
      </c>
      <c r="E4" s="58"/>
      <c r="F4" s="56" t="n">
        <f aca="false">+C4/F3</f>
        <v>37.7777777777778</v>
      </c>
      <c r="G4" s="56" t="n">
        <f aca="false">+C4/G3</f>
        <v>17.8947368421053</v>
      </c>
      <c r="H4" s="56" t="n">
        <f aca="false">+C4/H3</f>
        <v>8.71794871794872</v>
      </c>
      <c r="I4" s="64" t="n">
        <f aca="false">+C4/I3</f>
        <v>6.8</v>
      </c>
      <c r="J4" s="64" t="n">
        <f aca="false">+C4/J3</f>
        <v>4.25</v>
      </c>
    </row>
    <row r="5" customFormat="false" ht="12.8" hidden="false" customHeight="true" outlineLevel="0" collapsed="false">
      <c r="A5" s="58" t="s">
        <v>78</v>
      </c>
      <c r="B5" s="59" t="n">
        <v>200</v>
      </c>
      <c r="C5" s="60" t="n">
        <v>0.6</v>
      </c>
      <c r="D5" s="58" t="n">
        <v>3</v>
      </c>
      <c r="E5" s="58"/>
      <c r="F5" s="56" t="n">
        <f aca="false">+C5/F3</f>
        <v>13.3333333333333</v>
      </c>
      <c r="G5" s="56" t="n">
        <f aca="false">+C5/G3</f>
        <v>6.31578947368421</v>
      </c>
      <c r="H5" s="56" t="n">
        <f aca="false">+C5/H3</f>
        <v>3.07692307692308</v>
      </c>
      <c r="I5" s="64" t="n">
        <f aca="false">+C5/I3</f>
        <v>2.4</v>
      </c>
      <c r="J5" s="64" t="n">
        <f aca="false">+C5/J3</f>
        <v>1.5</v>
      </c>
    </row>
    <row r="6" customFormat="false" ht="12.8" hidden="false" customHeight="true" outlineLevel="0" collapsed="false">
      <c r="A6" s="58" t="s">
        <v>79</v>
      </c>
      <c r="B6" s="59" t="n">
        <v>200</v>
      </c>
      <c r="C6" s="60" t="n">
        <v>0.14</v>
      </c>
      <c r="D6" s="58" t="n">
        <v>0.7</v>
      </c>
      <c r="E6" s="58"/>
      <c r="F6" s="56" t="n">
        <f aca="false">+C6/F3</f>
        <v>3.11111111111111</v>
      </c>
      <c r="G6" s="56" t="n">
        <f aca="false">+C6/G3</f>
        <v>1.47368421052632</v>
      </c>
      <c r="H6" s="56" t="n">
        <f aca="false">+C6/H3</f>
        <v>0.717948717948718</v>
      </c>
      <c r="I6" s="64" t="n">
        <f aca="false">+C6/I3</f>
        <v>0.56</v>
      </c>
      <c r="J6" s="64" t="n">
        <f aca="false">+C6/J3</f>
        <v>0.35</v>
      </c>
    </row>
    <row r="7" customFormat="false" ht="12.8" hidden="false" customHeight="true" outlineLevel="0" collapsed="false">
      <c r="A7" s="58" t="s">
        <v>80</v>
      </c>
      <c r="B7" s="59" t="n">
        <v>200</v>
      </c>
      <c r="C7" s="60" t="n">
        <v>0.038</v>
      </c>
      <c r="D7" s="58" t="n">
        <v>0.19</v>
      </c>
      <c r="E7" s="58"/>
      <c r="F7" s="56" t="n">
        <f aca="false">+C7/F3</f>
        <v>0.844444444444444</v>
      </c>
      <c r="G7" s="56" t="n">
        <f aca="false">+C7/G3</f>
        <v>0.4</v>
      </c>
      <c r="H7" s="56" t="n">
        <f aca="false">+C7/H3</f>
        <v>0.194871794871795</v>
      </c>
      <c r="I7" s="64" t="n">
        <f aca="false">+C7/I3</f>
        <v>0.152</v>
      </c>
      <c r="J7" s="64" t="n">
        <f aca="false">+C7/J3</f>
        <v>0.095</v>
      </c>
    </row>
    <row r="8" customFormat="false" ht="12.8" hidden="false" customHeight="true" outlineLevel="0" collapsed="false">
      <c r="A8" s="58" t="s">
        <v>81</v>
      </c>
      <c r="B8" s="59" t="s">
        <v>82</v>
      </c>
      <c r="C8" s="60" t="s">
        <v>82</v>
      </c>
      <c r="D8" s="58" t="n">
        <v>3</v>
      </c>
      <c r="E8" s="58"/>
      <c r="F8" s="56"/>
      <c r="G8" s="56"/>
      <c r="H8" s="57"/>
    </row>
    <row r="9" customFormat="false" ht="12.8" hidden="false" customHeight="true" outlineLevel="0" collapsed="false">
      <c r="A9" s="58" t="s">
        <v>83</v>
      </c>
      <c r="B9" s="59" t="s">
        <v>82</v>
      </c>
      <c r="C9" s="60" t="s">
        <v>82</v>
      </c>
      <c r="D9" s="58" t="n">
        <v>1.3</v>
      </c>
      <c r="E9" s="58"/>
      <c r="F9" s="56"/>
      <c r="G9" s="56"/>
      <c r="H9" s="56"/>
      <c r="I9" s="65"/>
      <c r="J9" s="54"/>
      <c r="K9" s="65"/>
    </row>
    <row r="10" customFormat="false" ht="12.8" hidden="false" customHeight="true" outlineLevel="0" collapsed="false">
      <c r="B10" s="0"/>
      <c r="D10" s="54"/>
      <c r="E10" s="54"/>
      <c r="F10" s="56"/>
      <c r="G10" s="56"/>
      <c r="H10" s="56"/>
      <c r="I10" s="65"/>
      <c r="J10" s="54"/>
      <c r="K10" s="65"/>
    </row>
    <row r="11" customFormat="false" ht="23.85" hidden="false" customHeight="true" outlineLevel="0" collapsed="false">
      <c r="A11" s="66" t="s">
        <v>70</v>
      </c>
      <c r="B11" s="67" t="s">
        <v>84</v>
      </c>
      <c r="C11" s="68" t="s">
        <v>85</v>
      </c>
      <c r="D11" s="66" t="s">
        <v>86</v>
      </c>
      <c r="E11" s="66"/>
      <c r="F11" s="69" t="s">
        <v>87</v>
      </c>
      <c r="G11" s="56" t="s">
        <v>88</v>
      </c>
      <c r="H11" s="56"/>
      <c r="I11" s="65"/>
      <c r="J11" s="54"/>
      <c r="K11" s="65"/>
    </row>
    <row r="12" customFormat="false" ht="12.8" hidden="false" customHeight="true" outlineLevel="0" collapsed="false">
      <c r="A12" s="66"/>
      <c r="B12" s="67"/>
      <c r="C12" s="68"/>
      <c r="D12" s="70"/>
      <c r="E12" s="70"/>
      <c r="F12" s="71" t="s">
        <v>89</v>
      </c>
      <c r="G12" s="56"/>
      <c r="H12" s="56"/>
      <c r="I12" s="65"/>
      <c r="J12" s="54"/>
      <c r="K12" s="65"/>
    </row>
    <row r="13" customFormat="false" ht="12.8" hidden="false" customHeight="true" outlineLevel="0" collapsed="false">
      <c r="A13" s="66" t="s">
        <v>90</v>
      </c>
      <c r="B13" s="67" t="n">
        <v>0.037</v>
      </c>
      <c r="C13" s="72" t="n">
        <v>190</v>
      </c>
      <c r="D13" s="73" t="n">
        <f aca="false">+B13/C13*1000</f>
        <v>0.194736842105263</v>
      </c>
      <c r="E13" s="73"/>
      <c r="F13" s="56"/>
      <c r="G13" s="56"/>
      <c r="H13" s="56"/>
      <c r="I13" s="65"/>
      <c r="J13" s="54"/>
      <c r="K13" s="65"/>
    </row>
    <row r="14" customFormat="false" ht="12.8" hidden="false" customHeight="true" outlineLevel="0" collapsed="false">
      <c r="A14" s="66" t="s">
        <v>91</v>
      </c>
      <c r="B14" s="67" t="n">
        <v>0.14</v>
      </c>
      <c r="C14" s="72"/>
      <c r="D14" s="73" t="e">
        <f aca="false">+B14/C14*1000</f>
        <v>#DIV/0!</v>
      </c>
      <c r="E14" s="73"/>
      <c r="F14" s="56"/>
      <c r="G14" s="56"/>
      <c r="H14" s="71"/>
      <c r="I14" s="65"/>
      <c r="J14" s="54"/>
      <c r="K14" s="64"/>
    </row>
    <row r="15" customFormat="false" ht="12.8" hidden="false" customHeight="true" outlineLevel="0" collapsed="false">
      <c r="A15" s="66" t="s">
        <v>92</v>
      </c>
      <c r="B15" s="67" t="n">
        <v>1.7</v>
      </c>
      <c r="C15" s="72"/>
      <c r="D15" s="73" t="e">
        <f aca="false">+B15/C15*1000</f>
        <v>#DIV/0!</v>
      </c>
      <c r="E15" s="73"/>
      <c r="F15" s="56"/>
      <c r="G15" s="56"/>
      <c r="H15" s="71"/>
      <c r="I15" s="65"/>
      <c r="J15" s="54"/>
      <c r="K15" s="64"/>
    </row>
    <row r="16" customFormat="false" ht="12.8" hidden="false" customHeight="true" outlineLevel="0" collapsed="false">
      <c r="A16" s="66" t="s">
        <v>93</v>
      </c>
      <c r="B16" s="67" t="n">
        <v>0.6</v>
      </c>
      <c r="C16" s="72"/>
      <c r="D16" s="73" t="e">
        <f aca="false">+B16/C16*1000</f>
        <v>#DIV/0!</v>
      </c>
      <c r="E16" s="73"/>
      <c r="F16" s="56"/>
      <c r="G16" s="56"/>
      <c r="H16" s="71"/>
      <c r="I16" s="65"/>
      <c r="J16" s="54"/>
      <c r="K16" s="64"/>
    </row>
    <row r="17" customFormat="false" ht="12.8" hidden="false" customHeight="true" outlineLevel="0" collapsed="false">
      <c r="A17" s="66" t="s">
        <v>94</v>
      </c>
      <c r="B17" s="67" t="n">
        <v>0.25</v>
      </c>
      <c r="C17" s="72"/>
      <c r="D17" s="73" t="e">
        <f aca="false">+B17/C17*1000</f>
        <v>#DIV/0!</v>
      </c>
      <c r="E17" s="73"/>
      <c r="F17" s="56"/>
      <c r="G17" s="56"/>
      <c r="H17" s="71"/>
      <c r="I17" s="65"/>
      <c r="J17" s="54"/>
      <c r="K17" s="64"/>
    </row>
    <row r="18" customFormat="false" ht="12.8" hidden="false" customHeight="true" outlineLevel="0" collapsed="false">
      <c r="A18" s="66" t="s">
        <v>95</v>
      </c>
      <c r="B18" s="67" t="n">
        <v>0.18</v>
      </c>
      <c r="C18" s="72"/>
      <c r="D18" s="73" t="e">
        <f aca="false">+B18/C18*1000</f>
        <v>#DIV/0!</v>
      </c>
      <c r="E18" s="73"/>
      <c r="F18" s="56"/>
      <c r="G18" s="56"/>
      <c r="H18" s="71"/>
      <c r="I18" s="65"/>
      <c r="J18" s="54"/>
      <c r="K18" s="64"/>
    </row>
    <row r="19" customFormat="false" ht="12.8" hidden="false" customHeight="true" outlineLevel="0" collapsed="false">
      <c r="A19" s="66" t="s">
        <v>96</v>
      </c>
      <c r="B19" s="67" t="n">
        <v>50</v>
      </c>
      <c r="C19" s="72"/>
      <c r="D19" s="73" t="e">
        <f aca="false">+B19/C19*1000</f>
        <v>#DIV/0!</v>
      </c>
      <c r="E19" s="73"/>
      <c r="F19" s="56"/>
      <c r="G19" s="56"/>
      <c r="H19" s="71"/>
      <c r="I19" s="65"/>
      <c r="J19" s="54"/>
      <c r="K19" s="64"/>
    </row>
    <row r="20" customFormat="false" ht="12.8" hidden="false" customHeight="true" outlineLevel="0" collapsed="false">
      <c r="A20" s="66" t="s">
        <v>97</v>
      </c>
      <c r="B20" s="67" t="n">
        <v>1</v>
      </c>
      <c r="C20" s="72"/>
      <c r="D20" s="73" t="e">
        <f aca="false">+B20/C20*1000</f>
        <v>#DIV/0!</v>
      </c>
      <c r="E20" s="73"/>
      <c r="F20" s="74"/>
      <c r="G20" s="74"/>
      <c r="H20" s="71"/>
      <c r="I20" s="65"/>
      <c r="J20" s="54"/>
      <c r="K20" s="64"/>
    </row>
    <row r="21" customFormat="false" ht="12.8" hidden="false" customHeight="true" outlineLevel="0" collapsed="false">
      <c r="A21" s="66" t="s">
        <v>98</v>
      </c>
      <c r="B21" s="67" t="n">
        <v>0.037</v>
      </c>
      <c r="C21" s="72"/>
      <c r="D21" s="73" t="e">
        <f aca="false">+B21/C21*1000</f>
        <v>#DIV/0!</v>
      </c>
      <c r="E21" s="73"/>
      <c r="F21" s="56"/>
      <c r="G21" s="56"/>
      <c r="H21" s="71"/>
      <c r="I21" s="75"/>
      <c r="J21" s="3"/>
      <c r="K21" s="64"/>
    </row>
    <row r="22" customFormat="false" ht="12.8" hidden="false" customHeight="true" outlineLevel="0" collapsed="false">
      <c r="A22" s="66" t="s">
        <v>99</v>
      </c>
      <c r="B22" s="67" t="n">
        <v>0.14</v>
      </c>
      <c r="C22" s="72"/>
      <c r="D22" s="73" t="e">
        <f aca="false">+B22/C22*1000</f>
        <v>#DIV/0!</v>
      </c>
      <c r="E22" s="73"/>
      <c r="F22" s="56"/>
      <c r="G22" s="56"/>
      <c r="H22" s="56"/>
      <c r="I22" s="65"/>
      <c r="J22" s="54"/>
      <c r="K22" s="65"/>
    </row>
    <row r="23" customFormat="false" ht="12.8" hidden="false" customHeight="true" outlineLevel="0" collapsed="false">
      <c r="A23" s="66" t="s">
        <v>100</v>
      </c>
      <c r="B23" s="67" t="n">
        <v>0.12</v>
      </c>
      <c r="C23" s="72"/>
      <c r="D23" s="73" t="e">
        <f aca="false">+B23/C23*1000</f>
        <v>#DIV/0!</v>
      </c>
      <c r="E23" s="73"/>
      <c r="F23" s="56"/>
      <c r="G23" s="56"/>
      <c r="H23" s="56"/>
      <c r="I23" s="65"/>
      <c r="J23" s="54"/>
      <c r="K23" s="76"/>
    </row>
    <row r="24" customFormat="false" ht="12.8" hidden="false" customHeight="true" outlineLevel="0" collapsed="false">
      <c r="A24" s="66" t="s">
        <v>101</v>
      </c>
      <c r="B24" s="67" t="n">
        <v>0.14</v>
      </c>
      <c r="C24" s="72"/>
      <c r="D24" s="73" t="e">
        <f aca="false">+B24/C24*1000</f>
        <v>#DIV/0!</v>
      </c>
      <c r="E24" s="73"/>
      <c r="F24" s="56"/>
      <c r="G24" s="56"/>
      <c r="H24" s="56"/>
      <c r="I24" s="65"/>
      <c r="J24" s="54"/>
      <c r="K24" s="76"/>
    </row>
    <row r="25" customFormat="false" ht="12.8" hidden="false" customHeight="true" outlineLevel="0" collapsed="false">
      <c r="A25" s="66" t="s">
        <v>102</v>
      </c>
      <c r="B25" s="67" t="n">
        <v>0.14</v>
      </c>
      <c r="C25" s="72"/>
      <c r="D25" s="73" t="e">
        <f aca="false">+B25/C25*1000</f>
        <v>#DIV/0!</v>
      </c>
      <c r="E25" s="73"/>
      <c r="F25" s="56"/>
      <c r="G25" s="56"/>
      <c r="H25" s="56"/>
      <c r="I25" s="65"/>
      <c r="J25" s="54"/>
      <c r="K25" s="76"/>
    </row>
    <row r="26" customFormat="false" ht="12.8" hidden="false" customHeight="true" outlineLevel="0" collapsed="false">
      <c r="A26" s="66" t="s">
        <v>103</v>
      </c>
      <c r="B26" s="67" t="n">
        <v>17</v>
      </c>
      <c r="C26" s="72"/>
      <c r="D26" s="73" t="e">
        <f aca="false">+B26/C26*1000</f>
        <v>#DIV/0!</v>
      </c>
      <c r="E26" s="73"/>
      <c r="F26" s="56"/>
      <c r="G26" s="56"/>
      <c r="H26" s="56"/>
      <c r="I26" s="65"/>
      <c r="J26" s="54"/>
      <c r="K26" s="65"/>
    </row>
    <row r="27" customFormat="false" ht="12.8" hidden="false" customHeight="true" outlineLevel="0" collapsed="false">
      <c r="A27" s="66" t="s">
        <v>104</v>
      </c>
      <c r="B27" s="67" t="n">
        <v>0.6</v>
      </c>
      <c r="C27" s="72"/>
      <c r="D27" s="73" t="e">
        <f aca="false">+B27/C27*1000</f>
        <v>#DIV/0!</v>
      </c>
      <c r="E27" s="73"/>
      <c r="F27" s="56"/>
      <c r="G27" s="56"/>
      <c r="H27" s="56"/>
      <c r="I27" s="65"/>
      <c r="J27" s="54"/>
      <c r="K27" s="65"/>
    </row>
    <row r="28" customFormat="false" ht="12.8" hidden="false" customHeight="true" outlineLevel="0" collapsed="false">
      <c r="A28" s="77" t="s">
        <v>105</v>
      </c>
      <c r="B28" s="3" t="n">
        <v>0.026</v>
      </c>
      <c r="C28" s="78"/>
      <c r="D28" s="73" t="e">
        <f aca="false">+B28/C28*1000</f>
        <v>#DIV/0!</v>
      </c>
      <c r="E28" s="73"/>
      <c r="F28" s="56"/>
      <c r="G28" s="56"/>
      <c r="H28" s="79"/>
      <c r="I28" s="65"/>
      <c r="J28" s="54"/>
      <c r="K28" s="64"/>
    </row>
    <row r="29" customFormat="false" ht="12.8" hidden="false" customHeight="true" outlineLevel="0" collapsed="false">
      <c r="A29" s="77" t="s">
        <v>106</v>
      </c>
      <c r="B29" s="3" t="n">
        <v>0.06</v>
      </c>
      <c r="C29" s="78"/>
      <c r="D29" s="73" t="e">
        <f aca="false">+B29/C29*1000</f>
        <v>#DIV/0!</v>
      </c>
      <c r="E29" s="73"/>
      <c r="F29" s="56"/>
      <c r="G29" s="56"/>
      <c r="H29" s="56"/>
      <c r="I29" s="65"/>
      <c r="J29" s="54"/>
      <c r="K29" s="64"/>
    </row>
    <row r="30" customFormat="false" ht="12.8" hidden="false" customHeight="true" outlineLevel="0" collapsed="false">
      <c r="A30" s="41"/>
      <c r="B30" s="54" t="n">
        <v>0.235</v>
      </c>
      <c r="C30" s="78"/>
      <c r="D30" s="73"/>
      <c r="E30" s="73"/>
      <c r="F30" s="56"/>
      <c r="G30" s="56"/>
      <c r="H30" s="56"/>
      <c r="I30" s="65"/>
      <c r="J30" s="54"/>
      <c r="K30" s="64"/>
    </row>
    <row r="31" customFormat="false" ht="21.65" hidden="false" customHeight="true" outlineLevel="0" collapsed="false">
      <c r="A31" s="41" t="s">
        <v>107</v>
      </c>
      <c r="B31" s="54" t="n">
        <v>1.5</v>
      </c>
      <c r="C31" s="80"/>
      <c r="D31" s="2"/>
      <c r="E31" s="2"/>
      <c r="F31" s="2"/>
      <c r="G31" s="2"/>
      <c r="H31" s="2"/>
      <c r="I31" s="2"/>
      <c r="J31" s="2"/>
      <c r="K31" s="2"/>
      <c r="L31" s="3"/>
      <c r="M31" s="3"/>
      <c r="N31" s="3"/>
      <c r="O31" s="3"/>
      <c r="P31" s="54"/>
      <c r="Q31" s="54"/>
      <c r="R31" s="56"/>
      <c r="S31" s="56"/>
      <c r="T31" s="56"/>
      <c r="U31" s="65"/>
      <c r="V31" s="54"/>
      <c r="W31" s="64" t="n">
        <f aca="false">SUM(K28:K30)</f>
        <v>0</v>
      </c>
    </row>
    <row r="32" customFormat="false" ht="21.65" hidden="false" customHeight="true" outlineLevel="0" collapsed="false">
      <c r="A32" s="41" t="s">
        <v>108</v>
      </c>
      <c r="B32" s="54" t="n">
        <v>2</v>
      </c>
      <c r="C32" s="80"/>
      <c r="D32" s="2"/>
      <c r="E32" s="2"/>
      <c r="F32" s="2"/>
      <c r="G32" s="2"/>
      <c r="H32" s="2"/>
      <c r="I32" s="2"/>
      <c r="J32" s="2"/>
      <c r="K32" s="2"/>
      <c r="L32" s="3"/>
      <c r="M32" s="3"/>
      <c r="N32" s="3"/>
      <c r="O32" s="3"/>
      <c r="P32" s="54"/>
      <c r="Q32" s="54"/>
      <c r="R32" s="56"/>
      <c r="S32" s="56"/>
      <c r="T32" s="56" t="s">
        <v>109</v>
      </c>
      <c r="U32" s="64" t="n">
        <v>50</v>
      </c>
      <c r="V32" s="64" t="n">
        <v>0.035</v>
      </c>
      <c r="W32" s="64" t="n">
        <f aca="false">+U32*0.001/V32</f>
        <v>1.42857142857143</v>
      </c>
    </row>
    <row r="33" customFormat="false" ht="13.35" hidden="false" customHeight="true" outlineLevel="0" collapsed="false">
      <c r="A33" s="0" t="s">
        <v>110</v>
      </c>
      <c r="B33" s="0" t="n">
        <v>3.5</v>
      </c>
    </row>
    <row r="34" customFormat="false" ht="12.8" hidden="false" customHeight="true" outlineLevel="0" collapsed="false">
      <c r="A34" s="2"/>
      <c r="B34" s="0"/>
      <c r="C34" s="80"/>
      <c r="D34" s="2"/>
      <c r="E34" s="2"/>
      <c r="F34" s="2"/>
      <c r="G34" s="2"/>
      <c r="H34" s="2"/>
      <c r="I34" s="2"/>
      <c r="J34" s="2"/>
      <c r="K34" s="2"/>
      <c r="L34" s="3"/>
      <c r="M34" s="3"/>
      <c r="N34" s="3"/>
      <c r="O34" s="3"/>
      <c r="P34" s="54"/>
      <c r="Q34" s="54"/>
      <c r="R34" s="56"/>
      <c r="S34" s="56"/>
      <c r="T34" s="56" t="s">
        <v>111</v>
      </c>
      <c r="U34" s="64" t="n">
        <v>280</v>
      </c>
      <c r="V34" s="64" t="n">
        <v>0.235</v>
      </c>
      <c r="W34" s="64" t="n">
        <f aca="false">+U34*0.001/V34</f>
        <v>1.19148936170213</v>
      </c>
    </row>
    <row r="35" customFormat="false" ht="12.8" hidden="false" customHeight="true" outlineLevel="0" collapsed="false">
      <c r="A35" s="81" t="s">
        <v>112</v>
      </c>
      <c r="B35" s="81"/>
      <c r="C35" s="80"/>
      <c r="D35" s="2"/>
      <c r="E35" s="2"/>
      <c r="F35" s="2"/>
      <c r="G35" s="2"/>
      <c r="H35" s="2"/>
      <c r="I35" s="2"/>
      <c r="J35" s="2"/>
      <c r="K35" s="2"/>
      <c r="L35" s="3"/>
      <c r="M35" s="3"/>
      <c r="N35" s="3"/>
      <c r="O35" s="3"/>
      <c r="P35" s="54"/>
      <c r="Q35" s="54"/>
      <c r="R35" s="56"/>
      <c r="S35" s="56"/>
      <c r="T35" s="56"/>
      <c r="U35" s="64"/>
      <c r="V35" s="64"/>
      <c r="W35" s="64" t="n">
        <f aca="false">SUM(W33:W34)</f>
        <v>1.19148936170213</v>
      </c>
    </row>
    <row r="36" customFormat="false" ht="12.8" hidden="false" customHeight="false" outlineLevel="0" collapsed="false">
      <c r="A36" s="41" t="s">
        <v>113</v>
      </c>
      <c r="B36" s="41" t="s">
        <v>114</v>
      </c>
    </row>
    <row r="37" customFormat="false" ht="12.8" hidden="false" customHeight="false" outlineLevel="0" collapsed="false">
      <c r="A37" s="41" t="s">
        <v>115</v>
      </c>
      <c r="B37" s="41" t="n">
        <v>0.05</v>
      </c>
    </row>
    <row r="38" customFormat="false" ht="12.8" hidden="false" customHeight="false" outlineLevel="0" collapsed="false">
      <c r="A38" s="41" t="s">
        <v>116</v>
      </c>
      <c r="B38" s="41" t="n">
        <v>0.042</v>
      </c>
    </row>
    <row r="39" customFormat="false" ht="12.8" hidden="false" customHeight="false" outlineLevel="0" collapsed="false">
      <c r="A39" s="41" t="s">
        <v>117</v>
      </c>
      <c r="B39" s="41" t="n">
        <v>0.04</v>
      </c>
    </row>
    <row r="40" customFormat="false" ht="12.8" hidden="false" customHeight="false" outlineLevel="0" collapsed="false">
      <c r="A40" s="41" t="s">
        <v>118</v>
      </c>
      <c r="B40" s="41" t="n">
        <v>0.038</v>
      </c>
    </row>
    <row r="41" customFormat="false" ht="12.8" hidden="false" customHeight="false" outlineLevel="0" collapsed="false">
      <c r="A41" s="41" t="s">
        <v>119</v>
      </c>
      <c r="B41" s="41" t="n">
        <v>0.038</v>
      </c>
    </row>
    <row r="42" customFormat="false" ht="12.8" hidden="false" customHeight="false" outlineLevel="0" collapsed="false">
      <c r="A42" s="41" t="s">
        <v>120</v>
      </c>
      <c r="B42" s="41" t="n">
        <v>0.036</v>
      </c>
    </row>
    <row r="43" customFormat="false" ht="12.8" hidden="false" customHeight="false" outlineLevel="0" collapsed="false">
      <c r="A43" s="41" t="s">
        <v>121</v>
      </c>
      <c r="B43" s="41" t="n">
        <v>0.027</v>
      </c>
    </row>
    <row r="44" customFormat="false" ht="12.8" hidden="false" customHeight="false" outlineLevel="0" collapsed="false">
      <c r="A44" s="41" t="s">
        <v>122</v>
      </c>
      <c r="B44" s="41" t="n">
        <v>0.023</v>
      </c>
    </row>
    <row r="45" customFormat="false" ht="12.8" hidden="false" customHeight="false" outlineLevel="0" collapsed="false">
      <c r="A45" s="41" t="s">
        <v>123</v>
      </c>
      <c r="B45" s="41" t="n">
        <v>0.013</v>
      </c>
    </row>
    <row r="46" customFormat="false" ht="12.8" hidden="false" customHeight="false" outlineLevel="0" collapsed="false">
      <c r="A46" s="41" t="s">
        <v>124</v>
      </c>
      <c r="B46" s="41" t="n">
        <v>0</v>
      </c>
    </row>
  </sheetData>
  <mergeCells count="1">
    <mergeCell ref="A35:B35"/>
  </mergeCells>
  <hyperlinks>
    <hyperlink ref="F12" r:id="rId1" display="Läs mera här: http://www.swedisol.se/sites/default/files/undersidor/filer/pdf_bilaga_A.pdf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63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80" zoomScaleNormal="80" zoomScalePageLayoutView="100" workbookViewId="0">
      <selection pane="topLeft" activeCell="O20" activeCellId="0" sqref="O20"/>
    </sheetView>
  </sheetViews>
  <sheetFormatPr defaultRowHeight="12.8"/>
  <cols>
    <col collapsed="false" hidden="false" max="1" min="1" style="44" width="14.4540816326531"/>
    <col collapsed="false" hidden="false" max="2" min="2" style="0" width="6.76530612244898"/>
    <col collapsed="false" hidden="false" max="3" min="3" style="0" width="19.7244897959184"/>
    <col collapsed="false" hidden="false" max="13" min="4" style="0" width="6.76530612244898"/>
    <col collapsed="false" hidden="false" max="14" min="14" style="0" width="8.36734693877551"/>
    <col collapsed="false" hidden="false" max="15" min="15" style="0" width="9.86224489795918"/>
    <col collapsed="false" hidden="false" max="16" min="16" style="0" width="13.4183673469388"/>
    <col collapsed="false" hidden="false" max="1025" min="17" style="0" width="14.4540816326531"/>
  </cols>
  <sheetData>
    <row r="1" s="44" customFormat="true" ht="15" hidden="false" customHeight="false" outlineLevel="0" collapsed="false">
      <c r="A1" s="53" t="s">
        <v>125</v>
      </c>
      <c r="B1" s="82"/>
      <c r="O1" s="83"/>
      <c r="P1" s="83"/>
      <c r="Q1" s="84" t="n">
        <v>41548</v>
      </c>
      <c r="R1" s="0" t="n">
        <v>9</v>
      </c>
      <c r="S1" s="85" t="s">
        <v>126</v>
      </c>
      <c r="T1" s="44" t="s">
        <v>127</v>
      </c>
    </row>
    <row r="2" customFormat="false" ht="12.8" hidden="false" customHeight="false" outlineLevel="0" collapsed="false">
      <c r="A2" s="0"/>
      <c r="B2" s="82"/>
      <c r="O2" s="83"/>
      <c r="P2" s="83"/>
      <c r="Q2" s="84" t="n">
        <v>41549</v>
      </c>
      <c r="R2" s="0" t="n">
        <v>9.3</v>
      </c>
      <c r="S2" s="85" t="n">
        <v>41548</v>
      </c>
      <c r="T2" s="44" t="n">
        <v>9</v>
      </c>
    </row>
    <row r="3" customFormat="false" ht="12.8" hidden="false" customHeight="false" outlineLevel="0" collapsed="false">
      <c r="A3" s="44" t="s">
        <v>128</v>
      </c>
      <c r="B3" s="82" t="s">
        <v>129</v>
      </c>
      <c r="C3" s="44" t="n">
        <v>2005</v>
      </c>
      <c r="D3" s="44" t="n">
        <v>2006</v>
      </c>
      <c r="E3" s="44" t="n">
        <v>2007</v>
      </c>
      <c r="F3" s="44" t="n">
        <v>2008</v>
      </c>
      <c r="G3" s="44" t="n">
        <v>2009</v>
      </c>
      <c r="H3" s="44" t="n">
        <v>2010</v>
      </c>
      <c r="I3" s="44" t="n">
        <v>2011</v>
      </c>
      <c r="J3" s="44" t="n">
        <v>2012</v>
      </c>
      <c r="K3" s="44" t="n">
        <v>2013</v>
      </c>
      <c r="L3" s="44" t="n">
        <v>2014</v>
      </c>
      <c r="M3" s="44" t="n">
        <v>2015</v>
      </c>
      <c r="N3" s="44" t="n">
        <v>2016</v>
      </c>
      <c r="O3" s="83" t="s">
        <v>130</v>
      </c>
      <c r="P3" s="83" t="s">
        <v>131</v>
      </c>
      <c r="Q3" s="84" t="n">
        <v>41550</v>
      </c>
      <c r="R3" s="0" t="n">
        <v>7.7</v>
      </c>
      <c r="S3" s="84" t="n">
        <v>41549</v>
      </c>
      <c r="T3" s="44" t="n">
        <v>9.3</v>
      </c>
    </row>
    <row r="4" customFormat="false" ht="12.8" hidden="false" customHeight="false" outlineLevel="0" collapsed="false">
      <c r="A4" s="44" t="s">
        <v>132</v>
      </c>
      <c r="C4" s="0" t="n">
        <v>415</v>
      </c>
      <c r="D4" s="0" t="n">
        <v>548</v>
      </c>
      <c r="E4" s="0" t="n">
        <v>422</v>
      </c>
      <c r="F4" s="0" t="n">
        <v>430</v>
      </c>
      <c r="G4" s="0" t="n">
        <v>510</v>
      </c>
      <c r="H4" s="0" t="n">
        <v>716</v>
      </c>
      <c r="I4" s="0" t="n">
        <v>550</v>
      </c>
      <c r="J4" s="0" t="n">
        <v>507</v>
      </c>
      <c r="K4" s="0" t="n">
        <v>590</v>
      </c>
      <c r="L4" s="0" t="n">
        <v>539</v>
      </c>
      <c r="M4" s="86" t="n">
        <v>437</v>
      </c>
      <c r="N4" s="86" t="n">
        <v>607</v>
      </c>
      <c r="O4" s="87" t="n">
        <f aca="false">AVERAGE(C4:N4)</f>
        <v>522.583333333333</v>
      </c>
      <c r="P4" s="88" t="n">
        <f aca="false">+17-O4/31</f>
        <v>0.142473118279568</v>
      </c>
      <c r="Q4" s="84" t="n">
        <v>41551</v>
      </c>
      <c r="R4" s="0" t="n">
        <v>8.2</v>
      </c>
      <c r="S4" s="84" t="n">
        <v>41550</v>
      </c>
      <c r="T4" s="0" t="n">
        <v>7.7</v>
      </c>
    </row>
    <row r="5" customFormat="false" ht="12.8" hidden="false" customHeight="false" outlineLevel="0" collapsed="false">
      <c r="A5" s="44" t="s">
        <v>133</v>
      </c>
      <c r="C5" s="0" t="n">
        <v>474</v>
      </c>
      <c r="D5" s="0" t="n">
        <v>529</v>
      </c>
      <c r="E5" s="0" t="n">
        <v>498</v>
      </c>
      <c r="F5" s="0" t="n">
        <v>386</v>
      </c>
      <c r="G5" s="0" t="n">
        <v>537</v>
      </c>
      <c r="H5" s="0" t="n">
        <v>630</v>
      </c>
      <c r="I5" s="0" t="n">
        <v>557</v>
      </c>
      <c r="J5" s="0" t="n">
        <v>512</v>
      </c>
      <c r="K5" s="0" t="n">
        <v>534</v>
      </c>
      <c r="L5" s="0" t="n">
        <v>406</v>
      </c>
      <c r="M5" s="86" t="n">
        <v>414</v>
      </c>
      <c r="N5" s="86" t="n">
        <v>459</v>
      </c>
      <c r="O5" s="87" t="n">
        <f aca="false">AVERAGE(C5:N5)</f>
        <v>494.666666666667</v>
      </c>
      <c r="P5" s="88" t="n">
        <f aca="false">+17-O5/28.3</f>
        <v>-0.479387514723204</v>
      </c>
      <c r="Q5" s="84" t="n">
        <v>41552</v>
      </c>
      <c r="R5" s="0" t="n">
        <v>4.5</v>
      </c>
      <c r="S5" s="84" t="n">
        <v>41551</v>
      </c>
      <c r="T5" s="0" t="n">
        <v>8.2</v>
      </c>
    </row>
    <row r="6" customFormat="false" ht="12.8" hidden="false" customHeight="false" outlineLevel="0" collapsed="false">
      <c r="A6" s="44" t="s">
        <v>134</v>
      </c>
      <c r="C6" s="0" t="n">
        <v>525</v>
      </c>
      <c r="D6" s="0" t="n">
        <v>594</v>
      </c>
      <c r="E6" s="0" t="n">
        <v>381</v>
      </c>
      <c r="F6" s="0" t="n">
        <v>454</v>
      </c>
      <c r="G6" s="0" t="n">
        <v>463</v>
      </c>
      <c r="H6" s="0" t="n">
        <v>494</v>
      </c>
      <c r="I6" s="0" t="n">
        <v>484</v>
      </c>
      <c r="J6" s="0" t="n">
        <v>374</v>
      </c>
      <c r="K6" s="0" t="n">
        <v>568</v>
      </c>
      <c r="L6" s="0" t="n">
        <v>372</v>
      </c>
      <c r="M6" s="86" t="n">
        <v>405</v>
      </c>
      <c r="N6" s="86" t="n">
        <v>426</v>
      </c>
      <c r="O6" s="87" t="n">
        <f aca="false">AVERAGE(C6:N6)</f>
        <v>461.666666666667</v>
      </c>
      <c r="P6" s="88" t="n">
        <f aca="false">+17-O6/31</f>
        <v>2.10752688172043</v>
      </c>
      <c r="Q6" s="84" t="n">
        <v>41553</v>
      </c>
      <c r="R6" s="0" t="n">
        <v>4.2</v>
      </c>
      <c r="S6" s="84" t="n">
        <v>41552</v>
      </c>
      <c r="T6" s="0" t="n">
        <v>4.5</v>
      </c>
    </row>
    <row r="7" customFormat="false" ht="12.8" hidden="false" customHeight="false" outlineLevel="0" collapsed="false">
      <c r="A7" s="44" t="s">
        <v>135</v>
      </c>
      <c r="C7" s="0" t="n">
        <v>317</v>
      </c>
      <c r="D7" s="0" t="n">
        <v>362</v>
      </c>
      <c r="E7" s="0" t="n">
        <v>284</v>
      </c>
      <c r="F7" s="0" t="n">
        <v>302</v>
      </c>
      <c r="G7" s="0" t="n">
        <v>264</v>
      </c>
      <c r="H7" s="0" t="n">
        <v>330</v>
      </c>
      <c r="I7" s="0" t="n">
        <v>269</v>
      </c>
      <c r="J7" s="0" t="n">
        <v>349</v>
      </c>
      <c r="K7" s="0" t="n">
        <v>380</v>
      </c>
      <c r="L7" s="0" t="n">
        <v>273</v>
      </c>
      <c r="M7" s="86" t="n">
        <v>301</v>
      </c>
      <c r="N7" s="86" t="n">
        <v>320</v>
      </c>
      <c r="O7" s="87" t="n">
        <f aca="false">AVERAGE(C7:N7)</f>
        <v>312.583333333333</v>
      </c>
      <c r="P7" s="88" t="n">
        <f aca="false">+17-O7/30</f>
        <v>6.58055555555556</v>
      </c>
      <c r="Q7" s="84" t="n">
        <v>41554</v>
      </c>
      <c r="R7" s="0" t="n">
        <v>3.3</v>
      </c>
      <c r="S7" s="84" t="n">
        <v>41553</v>
      </c>
      <c r="T7" s="0" t="n">
        <v>4.2</v>
      </c>
    </row>
    <row r="8" customFormat="false" ht="12.8" hidden="false" customHeight="false" outlineLevel="0" collapsed="false">
      <c r="A8" s="44" t="s">
        <v>136</v>
      </c>
      <c r="C8" s="0" t="n">
        <v>224</v>
      </c>
      <c r="D8" s="0" t="n">
        <v>169</v>
      </c>
      <c r="E8" s="0" t="n">
        <v>202</v>
      </c>
      <c r="F8" s="0" t="n">
        <v>160</v>
      </c>
      <c r="G8" s="0" t="n">
        <v>169</v>
      </c>
      <c r="H8" s="0" t="n">
        <v>209</v>
      </c>
      <c r="I8" s="0" t="n">
        <v>185</v>
      </c>
      <c r="J8" s="0" t="n">
        <v>171</v>
      </c>
      <c r="K8" s="0" t="n">
        <v>167</v>
      </c>
      <c r="L8" s="0" t="n">
        <v>177</v>
      </c>
      <c r="M8" s="86" t="n">
        <v>198</v>
      </c>
      <c r="N8" s="86" t="n">
        <v>156</v>
      </c>
      <c r="O8" s="87" t="n">
        <f aca="false">AVERAGE(C8:N8)</f>
        <v>182.25</v>
      </c>
      <c r="P8" s="88" t="n">
        <f aca="false">+17-O8/31</f>
        <v>11.1209677419355</v>
      </c>
      <c r="Q8" s="84" t="n">
        <v>41555</v>
      </c>
      <c r="R8" s="0" t="n">
        <v>3.8</v>
      </c>
      <c r="S8" s="84" t="n">
        <v>41554</v>
      </c>
      <c r="T8" s="0" t="n">
        <v>3.3</v>
      </c>
    </row>
    <row r="9" customFormat="false" ht="12.8" hidden="false" customHeight="false" outlineLevel="0" collapsed="false">
      <c r="A9" s="44" t="s">
        <v>137</v>
      </c>
      <c r="C9" s="0" t="n">
        <v>98</v>
      </c>
      <c r="D9" s="0" t="n">
        <v>76</v>
      </c>
      <c r="E9" s="0" t="n">
        <v>52</v>
      </c>
      <c r="F9" s="0" t="n">
        <v>67</v>
      </c>
      <c r="G9" s="0" t="n">
        <v>91</v>
      </c>
      <c r="H9" s="0" t="n">
        <v>82</v>
      </c>
      <c r="I9" s="0" t="n">
        <v>67</v>
      </c>
      <c r="J9" s="0" t="n">
        <v>116</v>
      </c>
      <c r="K9" s="0" t="n">
        <v>80</v>
      </c>
      <c r="L9" s="0" t="n">
        <v>54</v>
      </c>
      <c r="M9" s="86" t="n">
        <v>135</v>
      </c>
      <c r="N9" s="86" t="n">
        <v>40</v>
      </c>
      <c r="O9" s="87" t="n">
        <f aca="false">AVERAGE(C9:N9)</f>
        <v>79.8333333333333</v>
      </c>
      <c r="P9" s="88" t="n">
        <f aca="false">+17-O9/30</f>
        <v>14.3388888888889</v>
      </c>
      <c r="Q9" s="84" t="n">
        <v>41556</v>
      </c>
      <c r="R9" s="0" t="n">
        <v>4.3</v>
      </c>
      <c r="S9" s="84" t="n">
        <v>41555</v>
      </c>
      <c r="T9" s="0" t="n">
        <v>3.8</v>
      </c>
    </row>
    <row r="10" customFormat="false" ht="12.8" hidden="false" customHeight="false" outlineLevel="0" collapsed="false">
      <c r="A10" s="44" t="s">
        <v>138</v>
      </c>
      <c r="B10" s="0" t="n">
        <v>48</v>
      </c>
      <c r="C10" s="0" t="n">
        <v>15</v>
      </c>
      <c r="D10" s="0" t="n">
        <v>3</v>
      </c>
      <c r="E10" s="0" t="n">
        <v>43</v>
      </c>
      <c r="F10" s="0" t="n">
        <v>26</v>
      </c>
      <c r="G10" s="0" t="n">
        <v>22</v>
      </c>
      <c r="H10" s="0" t="n">
        <v>15</v>
      </c>
      <c r="I10" s="0" t="n">
        <v>18</v>
      </c>
      <c r="J10" s="0" t="n">
        <v>33</v>
      </c>
      <c r="K10" s="0" t="n">
        <v>18</v>
      </c>
      <c r="L10" s="0" t="n">
        <v>6</v>
      </c>
      <c r="M10" s="86" t="n">
        <v>51</v>
      </c>
      <c r="N10" s="86" t="n">
        <v>22</v>
      </c>
      <c r="O10" s="87" t="n">
        <f aca="false">AVERAGE(C10:N10)</f>
        <v>22.6666666666667</v>
      </c>
      <c r="P10" s="88" t="n">
        <f aca="false">+17-O10/31</f>
        <v>16.2688172043011</v>
      </c>
      <c r="Q10" s="84" t="n">
        <v>41557</v>
      </c>
      <c r="R10" s="0" t="n">
        <v>8.8</v>
      </c>
      <c r="S10" s="84" t="n">
        <v>41556</v>
      </c>
      <c r="T10" s="0" t="n">
        <v>4.3</v>
      </c>
    </row>
    <row r="11" customFormat="false" ht="12.8" hidden="false" customHeight="false" outlineLevel="0" collapsed="false">
      <c r="A11" s="44" t="s">
        <v>139</v>
      </c>
      <c r="B11" s="0" t="n">
        <v>26</v>
      </c>
      <c r="C11" s="0" t="n">
        <v>36</v>
      </c>
      <c r="D11" s="0" t="n">
        <v>10</v>
      </c>
      <c r="E11" s="0" t="n">
        <v>30</v>
      </c>
      <c r="F11" s="0" t="n">
        <v>28</v>
      </c>
      <c r="G11" s="0" t="n">
        <v>26</v>
      </c>
      <c r="H11" s="0" t="n">
        <v>33</v>
      </c>
      <c r="I11" s="0" t="n">
        <v>35</v>
      </c>
      <c r="J11" s="0" t="n">
        <v>27</v>
      </c>
      <c r="K11" s="0" t="n">
        <v>18</v>
      </c>
      <c r="L11" s="0" t="n">
        <v>37</v>
      </c>
      <c r="M11" s="86" t="n">
        <v>23</v>
      </c>
      <c r="N11" s="86" t="n">
        <v>39</v>
      </c>
      <c r="O11" s="87" t="n">
        <f aca="false">AVERAGE(C11:N11)</f>
        <v>28.5</v>
      </c>
      <c r="P11" s="88" t="n">
        <f aca="false">+17-O11/31</f>
        <v>16.0806451612903</v>
      </c>
      <c r="Q11" s="84" t="n">
        <v>41558</v>
      </c>
      <c r="R11" s="0" t="n">
        <v>9.1</v>
      </c>
      <c r="S11" s="84" t="n">
        <v>41557</v>
      </c>
      <c r="T11" s="0" t="n">
        <v>8.8</v>
      </c>
    </row>
    <row r="12" customFormat="false" ht="12.8" hidden="false" customHeight="false" outlineLevel="0" collapsed="false">
      <c r="A12" s="44" t="s">
        <v>140</v>
      </c>
      <c r="B12" s="0" t="n">
        <v>87</v>
      </c>
      <c r="C12" s="0" t="n">
        <v>83</v>
      </c>
      <c r="D12" s="0" t="n">
        <v>38</v>
      </c>
      <c r="E12" s="0" t="n">
        <v>122</v>
      </c>
      <c r="F12" s="0" t="n">
        <v>136</v>
      </c>
      <c r="G12" s="0" t="n">
        <v>77</v>
      </c>
      <c r="H12" s="0" t="n">
        <v>138</v>
      </c>
      <c r="I12" s="0" t="n">
        <v>90</v>
      </c>
      <c r="J12" s="0" t="n">
        <v>127</v>
      </c>
      <c r="K12" s="0" t="n">
        <v>116</v>
      </c>
      <c r="L12" s="0" t="n">
        <v>83</v>
      </c>
      <c r="M12" s="86" t="n">
        <v>145</v>
      </c>
      <c r="N12" s="86" t="n">
        <v>38</v>
      </c>
      <c r="O12" s="87" t="n">
        <f aca="false">AVERAGE(C12:N12)</f>
        <v>99.4166666666667</v>
      </c>
      <c r="P12" s="88" t="n">
        <f aca="false">+17-O12/30</f>
        <v>13.6861111111111</v>
      </c>
      <c r="Q12" s="84" t="n">
        <v>41559</v>
      </c>
      <c r="R12" s="0" t="n">
        <v>7.9</v>
      </c>
      <c r="S12" s="84" t="n">
        <v>41558</v>
      </c>
      <c r="T12" s="0" t="n">
        <v>9.1</v>
      </c>
    </row>
    <row r="13" customFormat="false" ht="12.8" hidden="false" customHeight="false" outlineLevel="0" collapsed="false">
      <c r="A13" s="44" t="s">
        <v>141</v>
      </c>
      <c r="B13" s="0" t="n">
        <v>259</v>
      </c>
      <c r="C13" s="0" t="n">
        <v>218</v>
      </c>
      <c r="D13" s="0" t="n">
        <v>184</v>
      </c>
      <c r="E13" s="0" t="n">
        <v>239</v>
      </c>
      <c r="F13" s="0" t="n">
        <v>222</v>
      </c>
      <c r="G13" s="0" t="n">
        <v>311</v>
      </c>
      <c r="H13" s="0" t="n">
        <v>283</v>
      </c>
      <c r="I13" s="0" t="n">
        <v>212</v>
      </c>
      <c r="J13" s="0" t="n">
        <v>284</v>
      </c>
      <c r="K13" s="86" t="n">
        <v>234</v>
      </c>
      <c r="L13" s="0" t="n">
        <v>190</v>
      </c>
      <c r="M13" s="86" t="n">
        <v>238</v>
      </c>
      <c r="N13" s="86" t="n">
        <v>298</v>
      </c>
      <c r="O13" s="87" t="n">
        <f aca="false">AVERAGE(C13:N13)</f>
        <v>242.75</v>
      </c>
      <c r="P13" s="88" t="n">
        <f aca="false">+17-O13/31</f>
        <v>9.16935483870968</v>
      </c>
      <c r="Q13" s="84" t="n">
        <v>41560</v>
      </c>
      <c r="R13" s="0" t="n">
        <v>6.9</v>
      </c>
      <c r="S13" s="84" t="n">
        <v>41559</v>
      </c>
      <c r="T13" s="0" t="n">
        <v>7.9</v>
      </c>
    </row>
    <row r="14" customFormat="false" ht="12.8" hidden="false" customHeight="false" outlineLevel="0" collapsed="false">
      <c r="A14" s="44" t="s">
        <v>142</v>
      </c>
      <c r="B14" s="0" t="n">
        <v>370</v>
      </c>
      <c r="C14" s="0" t="n">
        <v>306</v>
      </c>
      <c r="D14" s="0" t="n">
        <v>272</v>
      </c>
      <c r="E14" s="0" t="n">
        <v>366</v>
      </c>
      <c r="F14" s="0" t="n">
        <v>343</v>
      </c>
      <c r="G14" s="0" t="n">
        <v>339</v>
      </c>
      <c r="H14" s="0" t="n">
        <v>489</v>
      </c>
      <c r="I14" s="0" t="n">
        <v>310</v>
      </c>
      <c r="J14" s="0" t="n">
        <v>341</v>
      </c>
      <c r="K14" s="86" t="n">
        <v>330</v>
      </c>
      <c r="L14" s="0" t="n">
        <v>328</v>
      </c>
      <c r="M14" s="86" t="n">
        <v>305</v>
      </c>
      <c r="O14" s="87" t="n">
        <f aca="false">AVERAGE(C14:N14)</f>
        <v>339</v>
      </c>
      <c r="P14" s="88" t="n">
        <f aca="false">+17-O14/30</f>
        <v>5.7</v>
      </c>
      <c r="Q14" s="84" t="n">
        <v>41561</v>
      </c>
      <c r="R14" s="0" t="n">
        <v>8.1</v>
      </c>
      <c r="S14" s="84" t="n">
        <v>41560</v>
      </c>
      <c r="T14" s="0" t="n">
        <v>6.9</v>
      </c>
    </row>
    <row r="15" customFormat="false" ht="12.8" hidden="false" customHeight="false" outlineLevel="0" collapsed="false">
      <c r="A15" s="44" t="s">
        <v>143</v>
      </c>
      <c r="B15" s="0" t="n">
        <v>390</v>
      </c>
      <c r="C15" s="0" t="n">
        <v>460</v>
      </c>
      <c r="D15" s="0" t="n">
        <v>313</v>
      </c>
      <c r="E15" s="0" t="n">
        <v>449</v>
      </c>
      <c r="F15" s="0" t="n">
        <v>474</v>
      </c>
      <c r="G15" s="0" t="n">
        <v>572</v>
      </c>
      <c r="H15" s="0" t="n">
        <v>712</v>
      </c>
      <c r="I15" s="0" t="n">
        <v>390</v>
      </c>
      <c r="J15" s="0" t="n">
        <v>614</v>
      </c>
      <c r="K15" s="0" t="n">
        <v>358</v>
      </c>
      <c r="L15" s="0" t="n">
        <v>447</v>
      </c>
      <c r="M15" s="86" t="n">
        <v>360</v>
      </c>
      <c r="O15" s="87" t="n">
        <f aca="false">AVERAGE(C15:N15)</f>
        <v>468.090909090909</v>
      </c>
      <c r="P15" s="88" t="n">
        <f aca="false">+17-O15/31</f>
        <v>1.90029325513197</v>
      </c>
      <c r="Q15" s="84" t="n">
        <v>41562</v>
      </c>
      <c r="R15" s="0" t="n">
        <v>9</v>
      </c>
      <c r="S15" s="84" t="n">
        <v>41561</v>
      </c>
      <c r="T15" s="0" t="n">
        <v>8.1</v>
      </c>
    </row>
    <row r="16" s="44" customFormat="true" ht="12.8" hidden="false" customHeight="false" outlineLevel="0" collapsed="false">
      <c r="A16" s="44" t="s">
        <v>144</v>
      </c>
      <c r="B16" s="44" t="n">
        <f aca="false">SUM(B4:B15)</f>
        <v>1180</v>
      </c>
      <c r="C16" s="44" t="n">
        <f aca="false">SUM(C4:C15)</f>
        <v>3171</v>
      </c>
      <c r="D16" s="44" t="n">
        <f aca="false">SUM(D4:D15)</f>
        <v>3098</v>
      </c>
      <c r="E16" s="44" t="n">
        <f aca="false">SUM(E4:E15)</f>
        <v>3088</v>
      </c>
      <c r="F16" s="44" t="n">
        <f aca="false">SUM(F4:F15)</f>
        <v>3028</v>
      </c>
      <c r="G16" s="44" t="n">
        <f aca="false">SUM(G4:G15)</f>
        <v>3381</v>
      </c>
      <c r="H16" s="44" t="n">
        <f aca="false">SUM(H4:H15)</f>
        <v>4131</v>
      </c>
      <c r="I16" s="44" t="n">
        <f aca="false">SUM(I4:I15)</f>
        <v>3167</v>
      </c>
      <c r="J16" s="44" t="n">
        <f aca="false">SUM(J4:J15)</f>
        <v>3455</v>
      </c>
      <c r="K16" s="44" t="n">
        <f aca="false">SUM(K4:K15)</f>
        <v>3393</v>
      </c>
      <c r="L16" s="44" t="n">
        <f aca="false">SUM(L4:L15)</f>
        <v>2912</v>
      </c>
      <c r="M16" s="44" t="n">
        <f aca="false">SUM(M4:M15)</f>
        <v>3012</v>
      </c>
      <c r="O16" s="83" t="n">
        <f aca="false">SUM(O4:O15)</f>
        <v>3254.00757575758</v>
      </c>
      <c r="P16" s="83"/>
      <c r="Q16" s="84" t="n">
        <v>41563</v>
      </c>
      <c r="R16" s="0" t="n">
        <v>9.8</v>
      </c>
      <c r="S16" s="84" t="n">
        <v>41562</v>
      </c>
      <c r="T16" s="0" t="n">
        <v>9</v>
      </c>
      <c r="V16" s="0"/>
    </row>
    <row r="17" customFormat="false" ht="12.8" hidden="false" customHeight="false" outlineLevel="0" collapsed="false">
      <c r="A17" s="0"/>
      <c r="Q17" s="84" t="n">
        <v>41564</v>
      </c>
      <c r="R17" s="0" t="n">
        <v>8.3</v>
      </c>
      <c r="S17" s="84" t="n">
        <v>41563</v>
      </c>
      <c r="T17" s="0" t="n">
        <v>9.8</v>
      </c>
    </row>
    <row r="18" s="90" customFormat="true" ht="12.8" hidden="false" customHeight="false" outlineLevel="0" collapsed="false">
      <c r="A18" s="89" t="s">
        <v>145</v>
      </c>
      <c r="C18" s="90" t="n">
        <f aca="false">17-C16/365</f>
        <v>8.31232876712329</v>
      </c>
      <c r="D18" s="90" t="n">
        <f aca="false">17-D16/365</f>
        <v>8.51232876712329</v>
      </c>
      <c r="E18" s="90" t="n">
        <f aca="false">17-E16/365</f>
        <v>8.53972602739726</v>
      </c>
      <c r="F18" s="90" t="n">
        <f aca="false">17-F16/366</f>
        <v>8.72677595628415</v>
      </c>
      <c r="G18" s="90" t="n">
        <f aca="false">17-G16/365</f>
        <v>7.73698630136986</v>
      </c>
      <c r="H18" s="90" t="n">
        <f aca="false">17-H16/365</f>
        <v>5.68219178082192</v>
      </c>
      <c r="I18" s="90" t="n">
        <f aca="false">17-I16/365</f>
        <v>8.32328767123288</v>
      </c>
      <c r="J18" s="90" t="n">
        <f aca="false">17-J16/366</f>
        <v>7.56010928961749</v>
      </c>
      <c r="K18" s="90" t="n">
        <f aca="false">17-K16/365</f>
        <v>7.7041095890411</v>
      </c>
      <c r="L18" s="90" t="n">
        <f aca="false">17-L16/365</f>
        <v>9.02191780821918</v>
      </c>
      <c r="M18" s="90" t="n">
        <f aca="false">17-M16/365</f>
        <v>8.74794520547945</v>
      </c>
      <c r="O18" s="90" t="n">
        <f aca="false">17-O16/365</f>
        <v>8.08491075134911</v>
      </c>
      <c r="P18" s="90" t="n">
        <f aca="false">AVERAGE(P4:P15)</f>
        <v>8.05135385351674</v>
      </c>
      <c r="Q18" s="90" t="n">
        <v>41565</v>
      </c>
      <c r="R18" s="90" t="n">
        <v>11.3</v>
      </c>
      <c r="S18" s="90" t="n">
        <v>41564</v>
      </c>
      <c r="T18" s="90" t="n">
        <v>8.3</v>
      </c>
    </row>
    <row r="19" customFormat="false" ht="12.8" hidden="false" customHeight="false" outlineLevel="0" collapsed="false">
      <c r="Q19" s="84" t="n">
        <v>41566</v>
      </c>
      <c r="R19" s="0" t="n">
        <v>10.1</v>
      </c>
      <c r="S19" s="84" t="n">
        <v>41565</v>
      </c>
      <c r="T19" s="0" t="n">
        <v>11.3</v>
      </c>
    </row>
    <row r="20" customFormat="false" ht="12.8" hidden="false" customHeight="false" outlineLevel="0" collapsed="false">
      <c r="N20" s="0" t="n">
        <f aca="false">SUM(N4:N19)+SUM(M14:M15)</f>
        <v>3070</v>
      </c>
      <c r="O20" s="88" t="n">
        <f aca="false">+17-N20/365</f>
        <v>8.58904109589041</v>
      </c>
      <c r="Q20" s="84" t="n">
        <v>41567</v>
      </c>
      <c r="R20" s="0" t="n">
        <v>13</v>
      </c>
      <c r="S20" s="84" t="n">
        <v>41566</v>
      </c>
      <c r="T20" s="0" t="n">
        <v>10.1</v>
      </c>
    </row>
    <row r="21" customFormat="false" ht="12.8" hidden="false" customHeight="false" outlineLevel="0" collapsed="false">
      <c r="Q21" s="84" t="n">
        <v>41568</v>
      </c>
      <c r="R21" s="0" t="n">
        <v>12</v>
      </c>
      <c r="S21" s="84" t="n">
        <v>41567</v>
      </c>
      <c r="T21" s="0" t="n">
        <v>13</v>
      </c>
    </row>
    <row r="22" customFormat="false" ht="12.8" hidden="false" customHeight="false" outlineLevel="0" collapsed="false">
      <c r="Q22" s="84" t="n">
        <v>41569</v>
      </c>
      <c r="R22" s="0" t="n">
        <v>7.5</v>
      </c>
      <c r="S22" s="84" t="n">
        <v>41568</v>
      </c>
      <c r="T22" s="0" t="n">
        <v>12</v>
      </c>
    </row>
    <row r="23" customFormat="false" ht="12.8" hidden="false" customHeight="false" outlineLevel="0" collapsed="false">
      <c r="Q23" s="84" t="n">
        <v>41570</v>
      </c>
      <c r="R23" s="0" t="n">
        <v>4.8</v>
      </c>
      <c r="S23" s="84" t="n">
        <v>41569</v>
      </c>
      <c r="T23" s="0" t="n">
        <v>7.5</v>
      </c>
    </row>
    <row r="24" customFormat="false" ht="12.8" hidden="false" customHeight="false" outlineLevel="0" collapsed="false">
      <c r="Q24" s="84" t="n">
        <v>41571</v>
      </c>
      <c r="R24" s="0" t="n">
        <v>5.9</v>
      </c>
      <c r="S24" s="84" t="n">
        <v>41570</v>
      </c>
      <c r="T24" s="0" t="n">
        <v>4.8</v>
      </c>
    </row>
    <row r="25" customFormat="false" ht="12.8" hidden="false" customHeight="false" outlineLevel="0" collapsed="false">
      <c r="Q25" s="84" t="n">
        <v>41572</v>
      </c>
      <c r="R25" s="0" t="n">
        <v>7.1</v>
      </c>
      <c r="S25" s="84" t="n">
        <v>41571</v>
      </c>
      <c r="T25" s="0" t="n">
        <v>5.9</v>
      </c>
    </row>
    <row r="26" customFormat="false" ht="12.8" hidden="false" customHeight="false" outlineLevel="0" collapsed="false">
      <c r="O26" s="91"/>
      <c r="P26" s="91"/>
      <c r="Q26" s="84" t="n">
        <v>41573</v>
      </c>
      <c r="R26" s="0" t="n">
        <v>5.4</v>
      </c>
      <c r="S26" s="84" t="n">
        <v>41572</v>
      </c>
      <c r="T26" s="0" t="n">
        <v>7.1</v>
      </c>
    </row>
    <row r="27" customFormat="false" ht="12.8" hidden="false" customHeight="false" outlineLevel="0" collapsed="false">
      <c r="O27" s="91"/>
      <c r="P27" s="91"/>
      <c r="Q27" s="84" t="n">
        <v>41574</v>
      </c>
      <c r="R27" s="0" t="n">
        <v>5.6</v>
      </c>
      <c r="S27" s="84" t="n">
        <v>41573</v>
      </c>
      <c r="T27" s="0" t="n">
        <v>5.4</v>
      </c>
    </row>
    <row r="28" customFormat="false" ht="12.8" hidden="false" customHeight="false" outlineLevel="0" collapsed="false">
      <c r="Q28" s="84" t="n">
        <v>41575</v>
      </c>
      <c r="R28" s="0" t="n">
        <v>6.7</v>
      </c>
      <c r="S28" s="84" t="n">
        <v>41574</v>
      </c>
      <c r="T28" s="0" t="n">
        <v>5.6</v>
      </c>
    </row>
    <row r="29" customFormat="false" ht="12.8" hidden="false" customHeight="false" outlineLevel="0" collapsed="false">
      <c r="Q29" s="84" t="n">
        <v>41576</v>
      </c>
      <c r="R29" s="0" t="n">
        <v>6.5</v>
      </c>
      <c r="S29" s="84" t="n">
        <v>41575</v>
      </c>
      <c r="T29" s="0" t="n">
        <v>6.7</v>
      </c>
    </row>
    <row r="30" customFormat="false" ht="12.8" hidden="false" customHeight="false" outlineLevel="0" collapsed="false">
      <c r="Q30" s="84" t="n">
        <v>41577</v>
      </c>
      <c r="R30" s="0" t="n">
        <v>9</v>
      </c>
      <c r="S30" s="84" t="n">
        <v>41576</v>
      </c>
      <c r="T30" s="0" t="n">
        <v>6.5</v>
      </c>
    </row>
    <row r="31" customFormat="false" ht="12.8" hidden="false" customHeight="false" outlineLevel="0" collapsed="false">
      <c r="R31" s="0" t="n">
        <f aca="false">SUM(R1:R30)</f>
        <v>227.1</v>
      </c>
      <c r="S31" s="84" t="n">
        <v>41577</v>
      </c>
      <c r="T31" s="0" t="n">
        <v>9</v>
      </c>
    </row>
    <row r="32" customFormat="false" ht="12.8" hidden="false" customHeight="false" outlineLevel="0" collapsed="false">
      <c r="R32" s="0" t="n">
        <v>9</v>
      </c>
      <c r="S32" s="84" t="n">
        <v>41578</v>
      </c>
      <c r="T32" s="0" t="n">
        <v>6.7</v>
      </c>
    </row>
    <row r="33" customFormat="false" ht="12.8" hidden="false" customHeight="false" outlineLevel="0" collapsed="false">
      <c r="R33" s="0" t="n">
        <f aca="false">SUM(R31:R32)</f>
        <v>236.1</v>
      </c>
      <c r="S33" s="84" t="n">
        <v>41579</v>
      </c>
      <c r="T33" s="0" t="n">
        <v>7.3</v>
      </c>
    </row>
    <row r="34" customFormat="false" ht="12.8" hidden="false" customHeight="false" outlineLevel="0" collapsed="false">
      <c r="S34" s="84" t="n">
        <v>41580</v>
      </c>
      <c r="T34" s="0" t="n">
        <v>8.1</v>
      </c>
    </row>
    <row r="35" customFormat="false" ht="12.8" hidden="false" customHeight="false" outlineLevel="0" collapsed="false">
      <c r="S35" s="84" t="n">
        <v>41581</v>
      </c>
      <c r="T35" s="0" t="n">
        <v>8.9</v>
      </c>
    </row>
    <row r="36" customFormat="false" ht="12.8" hidden="false" customHeight="false" outlineLevel="0" collapsed="false">
      <c r="S36" s="84" t="n">
        <v>41582</v>
      </c>
      <c r="T36" s="0" t="n">
        <v>9</v>
      </c>
    </row>
    <row r="37" customFormat="false" ht="12.8" hidden="false" customHeight="false" outlineLevel="0" collapsed="false">
      <c r="S37" s="84" t="n">
        <v>41583</v>
      </c>
      <c r="T37" s="0" t="n">
        <v>10.3</v>
      </c>
    </row>
    <row r="38" customFormat="false" ht="12.8" hidden="false" customHeight="false" outlineLevel="0" collapsed="false">
      <c r="S38" s="84" t="n">
        <v>41584</v>
      </c>
      <c r="T38" s="0" t="n">
        <v>14</v>
      </c>
    </row>
    <row r="39" customFormat="false" ht="12.8" hidden="false" customHeight="false" outlineLevel="0" collapsed="false">
      <c r="S39" s="84" t="n">
        <v>41585</v>
      </c>
      <c r="T39" s="0" t="n">
        <v>11.8</v>
      </c>
    </row>
    <row r="40" customFormat="false" ht="12.8" hidden="false" customHeight="false" outlineLevel="0" collapsed="false">
      <c r="S40" s="84" t="n">
        <v>41586</v>
      </c>
      <c r="T40" s="0" t="n">
        <v>8.1</v>
      </c>
    </row>
    <row r="41" customFormat="false" ht="12.8" hidden="false" customHeight="false" outlineLevel="0" collapsed="false">
      <c r="S41" s="84" t="n">
        <v>41587</v>
      </c>
      <c r="T41" s="0" t="n">
        <v>10.5</v>
      </c>
    </row>
    <row r="42" customFormat="false" ht="12.8" hidden="false" customHeight="false" outlineLevel="0" collapsed="false">
      <c r="S42" s="84" t="n">
        <v>41588</v>
      </c>
      <c r="T42" s="0" t="n">
        <v>12.8</v>
      </c>
    </row>
    <row r="43" customFormat="false" ht="12.8" hidden="false" customHeight="false" outlineLevel="0" collapsed="false">
      <c r="S43" s="84" t="n">
        <v>41589</v>
      </c>
      <c r="T43" s="0" t="n">
        <v>11.8</v>
      </c>
    </row>
    <row r="44" customFormat="false" ht="12.8" hidden="false" customHeight="false" outlineLevel="0" collapsed="false">
      <c r="S44" s="84" t="n">
        <v>41590</v>
      </c>
      <c r="T44" s="0" t="n">
        <v>7.7</v>
      </c>
    </row>
    <row r="45" customFormat="false" ht="12.8" hidden="false" customHeight="false" outlineLevel="0" collapsed="false">
      <c r="S45" s="84" t="n">
        <v>41591</v>
      </c>
      <c r="T45" s="0" t="n">
        <v>9</v>
      </c>
    </row>
    <row r="46" customFormat="false" ht="12.8" hidden="false" customHeight="false" outlineLevel="0" collapsed="false">
      <c r="S46" s="84" t="n">
        <v>41592</v>
      </c>
      <c r="T46" s="0" t="n">
        <v>8.4</v>
      </c>
    </row>
    <row r="47" customFormat="false" ht="12.8" hidden="false" customHeight="false" outlineLevel="0" collapsed="false">
      <c r="S47" s="84" t="n">
        <v>41593</v>
      </c>
      <c r="T47" s="0" t="n">
        <v>8.7</v>
      </c>
    </row>
    <row r="48" customFormat="false" ht="12.8" hidden="false" customHeight="false" outlineLevel="0" collapsed="false">
      <c r="S48" s="84" t="n">
        <v>41594</v>
      </c>
      <c r="T48" s="0" t="n">
        <v>6.4</v>
      </c>
    </row>
    <row r="49" customFormat="false" ht="12.8" hidden="false" customHeight="false" outlineLevel="0" collapsed="false">
      <c r="S49" s="84" t="n">
        <v>41595</v>
      </c>
      <c r="T49" s="0" t="n">
        <v>8</v>
      </c>
    </row>
    <row r="50" customFormat="false" ht="12.8" hidden="false" customHeight="false" outlineLevel="0" collapsed="false">
      <c r="S50" s="84" t="n">
        <v>41596</v>
      </c>
      <c r="T50" s="0" t="n">
        <v>9.4</v>
      </c>
    </row>
    <row r="51" customFormat="false" ht="12.8" hidden="false" customHeight="false" outlineLevel="0" collapsed="false">
      <c r="S51" s="84" t="n">
        <v>41597</v>
      </c>
      <c r="T51" s="0" t="n">
        <v>10.7</v>
      </c>
    </row>
    <row r="52" customFormat="false" ht="12.8" hidden="false" customHeight="false" outlineLevel="0" collapsed="false">
      <c r="S52" s="84" t="n">
        <v>41598</v>
      </c>
      <c r="T52" s="0" t="n">
        <v>16.3</v>
      </c>
    </row>
    <row r="53" customFormat="false" ht="12.8" hidden="false" customHeight="false" outlineLevel="0" collapsed="false">
      <c r="S53" s="84" t="n">
        <v>41599</v>
      </c>
      <c r="T53" s="0" t="n">
        <v>17.2</v>
      </c>
    </row>
    <row r="54" customFormat="false" ht="12.8" hidden="false" customHeight="false" outlineLevel="0" collapsed="false">
      <c r="S54" s="84" t="n">
        <v>41600</v>
      </c>
      <c r="T54" s="0" t="n">
        <v>18.3</v>
      </c>
    </row>
    <row r="55" customFormat="false" ht="12.8" hidden="false" customHeight="false" outlineLevel="0" collapsed="false">
      <c r="S55" s="84" t="n">
        <v>41601</v>
      </c>
      <c r="T55" s="0" t="n">
        <v>13.3</v>
      </c>
    </row>
    <row r="56" customFormat="false" ht="12.8" hidden="false" customHeight="false" outlineLevel="0" collapsed="false">
      <c r="S56" s="84" t="n">
        <v>41602</v>
      </c>
      <c r="T56" s="0" t="n">
        <v>14.1</v>
      </c>
    </row>
    <row r="57" customFormat="false" ht="12.8" hidden="false" customHeight="false" outlineLevel="0" collapsed="false">
      <c r="S57" s="84" t="n">
        <v>41603</v>
      </c>
      <c r="T57" s="0" t="n">
        <v>14.9</v>
      </c>
    </row>
    <row r="58" customFormat="false" ht="12.8" hidden="false" customHeight="false" outlineLevel="0" collapsed="false">
      <c r="S58" s="84" t="n">
        <v>41604</v>
      </c>
      <c r="T58" s="0" t="n">
        <v>12.3</v>
      </c>
    </row>
    <row r="59" customFormat="false" ht="12.8" hidden="false" customHeight="false" outlineLevel="0" collapsed="false">
      <c r="S59" s="84" t="n">
        <v>41605</v>
      </c>
      <c r="T59" s="0" t="n">
        <v>8</v>
      </c>
    </row>
    <row r="60" customFormat="false" ht="12.8" hidden="false" customHeight="false" outlineLevel="0" collapsed="false">
      <c r="S60" s="84" t="n">
        <v>41606</v>
      </c>
      <c r="T60" s="0" t="n">
        <v>9.1</v>
      </c>
    </row>
    <row r="61" customFormat="false" ht="12.8" hidden="false" customHeight="false" outlineLevel="0" collapsed="false">
      <c r="S61" s="84" t="n">
        <v>41607</v>
      </c>
      <c r="T61" s="0" t="n">
        <v>12.7</v>
      </c>
    </row>
    <row r="62" customFormat="false" ht="12.8" hidden="false" customHeight="false" outlineLevel="0" collapsed="false">
      <c r="S62" s="84" t="n">
        <v>41608</v>
      </c>
      <c r="T62" s="0" t="n">
        <v>3</v>
      </c>
    </row>
    <row r="63" customFormat="false" ht="12.8" hidden="false" customHeight="false" outlineLevel="0" collapsed="false">
      <c r="T63" s="0" t="n">
        <f aca="false">SUM(T33:T62)</f>
        <v>320.1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2016-11-19T21:47:56Z</dcterms:created>
  <dc:creator/>
  <dc:description/>
  <dc:language>sv-SE</dc:language>
  <cp:lastModifiedBy/>
  <dcterms:modified xsi:type="dcterms:W3CDTF">2016-11-25T10:15:15Z</dcterms:modified>
  <cp:revision>28</cp:revision>
  <dc:subject/>
  <dc:title/>
</cp:coreProperties>
</file>