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jörn\Dropbox\VP\NIBE\"/>
    </mc:Choice>
  </mc:AlternateContent>
  <workbookProtection workbookPassword="CD80" lockStructure="1"/>
  <bookViews>
    <workbookView xWindow="0" yWindow="6090" windowWidth="6000" windowHeight="6480"/>
  </bookViews>
  <sheets>
    <sheet name="Beräkningsblad" sheetId="1" r:id="rId1"/>
    <sheet name="Diagram" sheetId="5" r:id="rId2"/>
    <sheet name="Blad2 " sheetId="4" state="hidden" r:id="rId3"/>
    <sheet name="Blad3" sheetId="3" state="hidden" r:id="rId4"/>
  </sheets>
  <calcPr calcId="152511"/>
</workbook>
</file>

<file path=xl/calcChain.xml><?xml version="1.0" encoding="utf-8"?>
<calcChain xmlns="http://schemas.openxmlformats.org/spreadsheetml/2006/main">
  <c r="M7" i="3" l="1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6" i="3"/>
  <c r="A12" i="1"/>
  <c r="D13" i="1"/>
  <c r="E17" i="1"/>
  <c r="E19" i="1" s="1"/>
  <c r="G28" i="1" s="1"/>
  <c r="E18" i="1"/>
  <c r="J18" i="1"/>
  <c r="J20" i="1" s="1"/>
  <c r="G21" i="1"/>
  <c r="I22" i="1"/>
  <c r="I32" i="1"/>
  <c r="E34" i="1"/>
  <c r="I36" i="1"/>
  <c r="A31" i="5" s="1"/>
  <c r="J41" i="1"/>
  <c r="B2" i="4"/>
  <c r="C2" i="4"/>
  <c r="B3" i="4"/>
  <c r="B5" i="4" s="1"/>
  <c r="B6" i="4" s="1"/>
  <c r="C3" i="4"/>
  <c r="B4" i="4"/>
  <c r="C4" i="4"/>
  <c r="H4" i="4"/>
  <c r="J4" i="4"/>
  <c r="A10" i="4"/>
  <c r="E14" i="1"/>
  <c r="F19" i="4" s="1"/>
  <c r="F32" i="4"/>
  <c r="D2" i="5"/>
  <c r="F3" i="5"/>
  <c r="C4" i="5"/>
  <c r="F4" i="5"/>
  <c r="C6" i="5"/>
  <c r="D6" i="5"/>
  <c r="E6" i="5"/>
  <c r="H6" i="5"/>
  <c r="C8" i="5"/>
  <c r="D8" i="5"/>
  <c r="E8" i="5"/>
  <c r="C10" i="5"/>
  <c r="H10" i="5"/>
  <c r="C12" i="5"/>
  <c r="H12" i="5"/>
  <c r="C14" i="5"/>
  <c r="H14" i="5"/>
  <c r="C16" i="5"/>
  <c r="H16" i="5"/>
  <c r="C18" i="5"/>
  <c r="H18" i="5"/>
  <c r="C20" i="5"/>
  <c r="H20" i="5"/>
  <c r="C22" i="5"/>
  <c r="H22" i="5"/>
  <c r="H25" i="5"/>
  <c r="H28" i="5"/>
  <c r="A30" i="5"/>
  <c r="H31" i="5"/>
  <c r="H32" i="5"/>
  <c r="H34" i="5"/>
  <c r="F63" i="1"/>
  <c r="E63" i="1"/>
  <c r="D63" i="1"/>
  <c r="G63" i="1" s="1"/>
  <c r="G42" i="1"/>
  <c r="G41" i="1"/>
  <c r="G36" i="1"/>
  <c r="G29" i="1"/>
  <c r="G20" i="1"/>
  <c r="E16" i="1"/>
  <c r="F33" i="4" l="1"/>
  <c r="G32" i="1"/>
  <c r="A26" i="5"/>
  <c r="F29" i="4"/>
  <c r="F31" i="4" s="1"/>
  <c r="J22" i="1"/>
  <c r="I28" i="1"/>
  <c r="I33" i="1"/>
  <c r="E35" i="1" s="1"/>
  <c r="I29" i="1"/>
  <c r="J21" i="1"/>
  <c r="E23" i="1" s="1"/>
  <c r="A15" i="4" s="1"/>
  <c r="D43" i="5"/>
  <c r="D40" i="5"/>
  <c r="I25" i="1"/>
  <c r="J25" i="1" s="1"/>
  <c r="H24" i="5"/>
  <c r="H26" i="5"/>
  <c r="I19" i="1"/>
  <c r="A27" i="5" s="1"/>
  <c r="F21" i="4"/>
  <c r="F22" i="4"/>
  <c r="I16" i="1"/>
  <c r="A37" i="5"/>
  <c r="E15" i="1"/>
  <c r="C5" i="4"/>
  <c r="C6" i="4" s="1"/>
  <c r="H5" i="4" s="1"/>
  <c r="I32" i="4"/>
  <c r="H29" i="5"/>
  <c r="G24" i="1"/>
  <c r="A25" i="5"/>
  <c r="I24" i="1"/>
  <c r="E37" i="1"/>
  <c r="G25" i="1"/>
  <c r="I31" i="4"/>
  <c r="J24" i="1"/>
  <c r="H37" i="5"/>
  <c r="E43" i="1"/>
  <c r="E26" i="1"/>
  <c r="F23" i="4"/>
  <c r="J15" i="1"/>
  <c r="H38" i="5" s="1"/>
  <c r="G22" i="1"/>
  <c r="E30" i="1"/>
  <c r="G33" i="1"/>
  <c r="I63" i="1"/>
  <c r="F30" i="4"/>
  <c r="J42" i="1"/>
  <c r="E44" i="1" s="1"/>
  <c r="J38" i="1"/>
  <c r="E40" i="1" s="1"/>
  <c r="G38" i="1"/>
  <c r="J45" i="1"/>
  <c r="J5" i="4"/>
  <c r="E13" i="1" s="1"/>
  <c r="F34" i="4" l="1"/>
  <c r="G35" i="4" s="1"/>
  <c r="G36" i="4" s="1"/>
  <c r="E31" i="1"/>
  <c r="A17" i="4" s="1"/>
  <c r="E27" i="1"/>
  <c r="A16" i="4" s="1"/>
  <c r="A18" i="4"/>
  <c r="I33" i="4"/>
  <c r="G24" i="4"/>
  <c r="G37" i="4" s="1"/>
  <c r="E39" i="1"/>
  <c r="F20" i="4"/>
  <c r="E46" i="1"/>
  <c r="I49" i="1" s="1"/>
  <c r="G45" i="1"/>
  <c r="A29" i="5"/>
  <c r="I50" i="1"/>
  <c r="B40" i="5"/>
  <c r="B44" i="5"/>
  <c r="B41" i="5"/>
  <c r="E50" i="1"/>
  <c r="H41" i="5" s="1"/>
  <c r="I23" i="4"/>
  <c r="H35" i="5"/>
  <c r="I37" i="4" l="1"/>
  <c r="F42" i="4" s="1"/>
  <c r="H36" i="5"/>
  <c r="G38" i="4"/>
  <c r="I53" i="1" s="1"/>
  <c r="D41" i="5"/>
  <c r="B43" i="5"/>
  <c r="D44" i="5"/>
  <c r="E47" i="1" l="1"/>
  <c r="I54" i="1" s="1"/>
  <c r="H8" i="5" s="1"/>
  <c r="H52" i="1"/>
  <c r="H51" i="1"/>
  <c r="F40" i="5"/>
  <c r="F43" i="5"/>
  <c r="E55" i="1" l="1"/>
  <c r="A19" i="4"/>
  <c r="A20" i="4" s="1"/>
  <c r="E52" i="1"/>
  <c r="A25" i="4" s="1"/>
  <c r="E51" i="1"/>
  <c r="A24" i="4" s="1"/>
  <c r="E53" i="1"/>
  <c r="A26" i="4" s="1"/>
  <c r="A27" i="4" l="1"/>
  <c r="E54" i="1" s="1"/>
  <c r="H44" i="5" s="1"/>
  <c r="J51" i="1" l="1"/>
  <c r="I47" i="5" s="1"/>
</calcChain>
</file>

<file path=xl/sharedStrings.xml><?xml version="1.0" encoding="utf-8"?>
<sst xmlns="http://schemas.openxmlformats.org/spreadsheetml/2006/main" count="341" uniqueCount="217">
  <si>
    <t>L3</t>
  </si>
  <si>
    <t>L2</t>
  </si>
  <si>
    <t>L1</t>
  </si>
  <si>
    <t>Gas</t>
  </si>
  <si>
    <t>Vätska</t>
  </si>
  <si>
    <t>Entalpi</t>
  </si>
  <si>
    <t xml:space="preserve"> bar(a)</t>
  </si>
  <si>
    <t xml:space="preserve"> bar(e)</t>
  </si>
  <si>
    <t xml:space="preserve"> kJ / kg</t>
  </si>
  <si>
    <t xml:space="preserve"> K</t>
  </si>
  <si>
    <t xml:space="preserve">    utlopp</t>
  </si>
  <si>
    <t xml:space="preserve"> kW</t>
  </si>
  <si>
    <t>COP k</t>
  </si>
  <si>
    <t>COP v</t>
  </si>
  <si>
    <t xml:space="preserve">    i massflöde</t>
  </si>
  <si>
    <t xml:space="preserve">          Gastemperatur</t>
  </si>
  <si>
    <t xml:space="preserve">    utloppstemperatur</t>
  </si>
  <si>
    <t xml:space="preserve">                            Entalpi överfört till suggasen</t>
  </si>
  <si>
    <t xml:space="preserve">                      Total överhettning av suggasen</t>
  </si>
  <si>
    <t xml:space="preserve">                  Tillförd elektrisk effekt</t>
  </si>
  <si>
    <t xml:space="preserve">   I hetgasväxlaren avgiven effekt</t>
  </si>
  <si>
    <t xml:space="preserve">                  Summa avgiven effekt</t>
  </si>
  <si>
    <t>Total underkylning av köldmedievätskan</t>
  </si>
  <si>
    <t>Medelspänning</t>
  </si>
  <si>
    <t>M.ström</t>
  </si>
  <si>
    <t>phas 1</t>
  </si>
  <si>
    <t>3 phas</t>
  </si>
  <si>
    <t>phas 2</t>
  </si>
  <si>
    <t>phas 3</t>
  </si>
  <si>
    <t xml:space="preserve">           Elektrisk effekt 1 phas  </t>
  </si>
  <si>
    <t>summa</t>
  </si>
  <si>
    <t xml:space="preserve">           Elektrisk effekt 3 phas  </t>
  </si>
  <si>
    <t>summa /3</t>
  </si>
  <si>
    <t xml:space="preserve">      Temperatur</t>
  </si>
  <si>
    <t xml:space="preserve">     Specifik volym</t>
  </si>
  <si>
    <t xml:space="preserve">     Specifik entalpi</t>
  </si>
  <si>
    <t xml:space="preserve">   vätska </t>
  </si>
  <si>
    <t xml:space="preserve">    ånga</t>
  </si>
  <si>
    <t xml:space="preserve">    vätska </t>
  </si>
  <si>
    <t>Tryck</t>
  </si>
  <si>
    <t>t,BP</t>
  </si>
  <si>
    <t>t,DP</t>
  </si>
  <si>
    <t xml:space="preserve">VBP  </t>
  </si>
  <si>
    <t>VDP</t>
  </si>
  <si>
    <t>h,BP</t>
  </si>
  <si>
    <t xml:space="preserve">   abs</t>
  </si>
  <si>
    <t>C°</t>
  </si>
  <si>
    <t xml:space="preserve">m³ / kg </t>
  </si>
  <si>
    <t xml:space="preserve">kJ / kg </t>
  </si>
  <si>
    <t xml:space="preserve">   bar(a)</t>
  </si>
  <si>
    <t>*1/1000</t>
  </si>
  <si>
    <t>multiplikator</t>
  </si>
  <si>
    <t>Hetgas</t>
  </si>
  <si>
    <t>högst</t>
  </si>
  <si>
    <r>
      <t xml:space="preserve">1 phas är markerat.  </t>
    </r>
    <r>
      <rPr>
        <b/>
        <sz val="10"/>
        <rFont val="Arial"/>
        <family val="2"/>
      </rPr>
      <t>Ange spänning och ström under L1</t>
    </r>
  </si>
  <si>
    <t>hetgas</t>
  </si>
  <si>
    <t>Specifik</t>
  </si>
  <si>
    <t>entalpi</t>
  </si>
  <si>
    <t>A10 = tom cell</t>
  </si>
  <si>
    <t xml:space="preserve">         I förångaren upptagen effekt</t>
  </si>
  <si>
    <r>
      <t xml:space="preserve">Cos </t>
    </r>
    <r>
      <rPr>
        <sz val="9"/>
        <rFont val="Symbol"/>
        <family val="1"/>
        <charset val="2"/>
      </rPr>
      <t>j</t>
    </r>
  </si>
  <si>
    <t>Kont.hetgasväxlaretemp.</t>
  </si>
  <si>
    <t>Ingen kondensering</t>
  </si>
  <si>
    <t>Förångningstemperatur</t>
  </si>
  <si>
    <t>Vätsketemperatur</t>
  </si>
  <si>
    <t>°C</t>
  </si>
  <si>
    <t>Spänning</t>
  </si>
  <si>
    <t xml:space="preserve">  V</t>
  </si>
  <si>
    <t>Ström</t>
  </si>
  <si>
    <t xml:space="preserve">  A</t>
  </si>
  <si>
    <t>h</t>
  </si>
  <si>
    <t>Hp</t>
  </si>
  <si>
    <t>bar (e)</t>
  </si>
  <si>
    <t>Kondensor inlopp</t>
  </si>
  <si>
    <t>Lp</t>
  </si>
  <si>
    <t>Kondensor utlopp</t>
  </si>
  <si>
    <t>Suggasvx. Vätska inlopp</t>
  </si>
  <si>
    <t>Suggas</t>
  </si>
  <si>
    <t>Suggasvx. Vätska utlopp</t>
  </si>
  <si>
    <t>Hetgasvx.inlopp</t>
  </si>
  <si>
    <t>Suggasvx.Gas inlopp</t>
  </si>
  <si>
    <t>Hetgasvx.utlopp</t>
  </si>
  <si>
    <t>Suggasvx.Gas utlopp</t>
  </si>
  <si>
    <t>Strypdon Vätska</t>
  </si>
  <si>
    <t>Förångare Gas utlopp</t>
  </si>
  <si>
    <t>Hp 100% kondensat</t>
  </si>
  <si>
    <t>100% gas</t>
  </si>
  <si>
    <t>bar (a)</t>
  </si>
  <si>
    <t>kJ/kg</t>
  </si>
  <si>
    <t>Hetgaspunkt</t>
  </si>
  <si>
    <t>Hetg.vx.ut</t>
  </si>
  <si>
    <t>Strypdonets</t>
  </si>
  <si>
    <t>Kond. In</t>
  </si>
  <si>
    <t>Suggasp.</t>
  </si>
  <si>
    <t xml:space="preserve">Lp </t>
  </si>
  <si>
    <t>COP v =</t>
  </si>
  <si>
    <t>-</t>
  </si>
  <si>
    <t>COP k =</t>
  </si>
  <si>
    <r>
      <t xml:space="preserve">Cos </t>
    </r>
    <r>
      <rPr>
        <sz val="10"/>
        <rFont val="Symbol"/>
        <family val="1"/>
        <charset val="2"/>
      </rPr>
      <t>j</t>
    </r>
  </si>
  <si>
    <t>Köldmedium:</t>
  </si>
  <si>
    <t xml:space="preserve">                      Kondenseringstemperatur</t>
  </si>
  <si>
    <t>Inget högtryck angivet</t>
  </si>
  <si>
    <t>Överhettning</t>
  </si>
  <si>
    <t>°K</t>
  </si>
  <si>
    <t>Underkylning</t>
  </si>
  <si>
    <t>energivinst</t>
  </si>
  <si>
    <t>s kurva</t>
  </si>
  <si>
    <t>kompression</t>
  </si>
  <si>
    <t>överhettning</t>
  </si>
  <si>
    <t>max 30 K</t>
  </si>
  <si>
    <t>ºC</t>
  </si>
  <si>
    <t>sugrör</t>
  </si>
  <si>
    <t>temperatur</t>
  </si>
  <si>
    <t xml:space="preserve">s kurva </t>
  </si>
  <si>
    <t>förång.temp</t>
  </si>
  <si>
    <t>beräknad s kurva</t>
  </si>
  <si>
    <t xml:space="preserve"> ºC</t>
  </si>
  <si>
    <t xml:space="preserve"> (bar a)</t>
  </si>
  <si>
    <t>multplikator</t>
  </si>
  <si>
    <t>Isentropisk verkningsgrad</t>
  </si>
  <si>
    <t>idealisk kompression</t>
  </si>
  <si>
    <t>entropisk</t>
  </si>
  <si>
    <t>differens</t>
  </si>
  <si>
    <t>s kurveändring</t>
  </si>
  <si>
    <t>entalpi vid s kurvan</t>
  </si>
  <si>
    <t xml:space="preserve">teoretisk hetgas </t>
  </si>
  <si>
    <t>förå.temp</t>
  </si>
  <si>
    <t>teoretisk hetgastemp.</t>
  </si>
  <si>
    <r>
      <t xml:space="preserve">isentropisk </t>
    </r>
    <r>
      <rPr>
        <sz val="9"/>
        <rFont val="Symbol"/>
        <family val="1"/>
        <charset val="2"/>
      </rPr>
      <t xml:space="preserve"> h</t>
    </r>
  </si>
  <si>
    <t>KONDENSERING</t>
  </si>
  <si>
    <t xml:space="preserve">Hög temperatur </t>
  </si>
  <si>
    <t>Låg temperatur</t>
  </si>
  <si>
    <t>Högt tryck angivet</t>
  </si>
  <si>
    <t>Ingen tryckrörstemp.</t>
  </si>
  <si>
    <t>Ingen inloppstemp.</t>
  </si>
  <si>
    <t>Hetgasvx.</t>
  </si>
  <si>
    <t>Inlopp låg temp.</t>
  </si>
  <si>
    <t xml:space="preserve"> ºC  </t>
  </si>
  <si>
    <t xml:space="preserve"> ºC      a , b</t>
  </si>
  <si>
    <t xml:space="preserve"> ºC            c</t>
  </si>
  <si>
    <t xml:space="preserve"> ºC            d</t>
  </si>
  <si>
    <t>Kont. Kondensor</t>
  </si>
  <si>
    <t>Värmebärare</t>
  </si>
  <si>
    <t>Specifik entalpi kJ / kg / °K</t>
  </si>
  <si>
    <t>Temperatur in °C</t>
  </si>
  <si>
    <t>Temperatur ut °C</t>
  </si>
  <si>
    <t>Effekt kW</t>
  </si>
  <si>
    <t>Kondensor</t>
  </si>
  <si>
    <t>Underkylare</t>
  </si>
  <si>
    <t>Hetgasväx.</t>
  </si>
  <si>
    <t>Summa</t>
  </si>
  <si>
    <t>avgiven</t>
  </si>
  <si>
    <t>effekt  kW</t>
  </si>
  <si>
    <t>Köldbärare</t>
  </si>
  <si>
    <t>Förångare</t>
  </si>
  <si>
    <t>in °C</t>
  </si>
  <si>
    <t>ut °C</t>
  </si>
  <si>
    <t>ent.kJ/kg/K</t>
  </si>
  <si>
    <t>eff. kW</t>
  </si>
  <si>
    <t>Kont. Underkylare</t>
  </si>
  <si>
    <t>hetgasvx.</t>
  </si>
  <si>
    <t>kond.</t>
  </si>
  <si>
    <t>massfl.</t>
  </si>
  <si>
    <t>avg.eff.</t>
  </si>
  <si>
    <t>und.kyl</t>
  </si>
  <si>
    <t>Överhettning   K</t>
  </si>
  <si>
    <t>Underkylning  K</t>
  </si>
  <si>
    <r>
      <t xml:space="preserve"> </t>
    </r>
    <r>
      <rPr>
        <sz val="9"/>
        <rFont val="Symbol"/>
        <family val="1"/>
        <charset val="2"/>
      </rPr>
      <t>h</t>
    </r>
    <r>
      <rPr>
        <sz val="8"/>
        <rFont val="Arial"/>
        <family val="2"/>
      </rPr>
      <t xml:space="preserve"> med i beräkning för km-massflöde</t>
    </r>
  </si>
  <si>
    <t>Kont.temp</t>
  </si>
  <si>
    <t>kond</t>
  </si>
  <si>
    <t>und.k</t>
  </si>
  <si>
    <t xml:space="preserve"> kW = kJ / sekund     e</t>
  </si>
  <si>
    <t xml:space="preserve"> kJ / kg (jmf. E 44)</t>
  </si>
  <si>
    <t xml:space="preserve"> kJ / kg (jmf. E 35)</t>
  </si>
  <si>
    <t>Funktionsanalys</t>
  </si>
  <si>
    <t xml:space="preserve">      Elförbrukning till fläktar och pumpar etc.</t>
  </si>
  <si>
    <t xml:space="preserve">  Kompressorström </t>
  </si>
  <si>
    <t xml:space="preserve">           I kondensorn avgiven effekt</t>
  </si>
  <si>
    <t xml:space="preserve">           I underkylaren avgiven effekt</t>
  </si>
  <si>
    <t>utloppstemperatur</t>
  </si>
  <si>
    <t xml:space="preserve">    inloppstemperatur</t>
  </si>
  <si>
    <t>avgiven entalpi</t>
  </si>
  <si>
    <t>Hetgasväxlare</t>
  </si>
  <si>
    <t>tryckrörstemperatur</t>
  </si>
  <si>
    <t>Kompressor</t>
  </si>
  <si>
    <t>inloppstemperatur</t>
  </si>
  <si>
    <t>underkylning</t>
  </si>
  <si>
    <t>Suggasväxlare</t>
  </si>
  <si>
    <t>vätsketemperatur</t>
  </si>
  <si>
    <t>Expansionsdon</t>
  </si>
  <si>
    <t>upptagen entalpi</t>
  </si>
  <si>
    <t xml:space="preserve">  Överhettning</t>
  </si>
  <si>
    <t>Inlopp</t>
  </si>
  <si>
    <t>Gastemp.</t>
  </si>
  <si>
    <t>inlopp</t>
  </si>
  <si>
    <t>Vätsketemp.</t>
  </si>
  <si>
    <t>sugrörtemperatur</t>
  </si>
  <si>
    <t xml:space="preserve">Spänning </t>
  </si>
  <si>
    <r>
      <t xml:space="preserve">Sugtryck   </t>
    </r>
    <r>
      <rPr>
        <b/>
        <sz val="9"/>
        <rFont val="Arial"/>
        <family val="2"/>
      </rPr>
      <t xml:space="preserve">Lp   </t>
    </r>
  </si>
  <si>
    <r>
      <t xml:space="preserve">Högtryck   </t>
    </r>
    <r>
      <rPr>
        <b/>
        <sz val="9"/>
        <rFont val="Arial"/>
        <family val="2"/>
      </rPr>
      <t>Hp</t>
    </r>
  </si>
  <si>
    <t>Tillförd el effekt</t>
  </si>
  <si>
    <t>kW</t>
  </si>
  <si>
    <t>Avgiven effekt</t>
  </si>
  <si>
    <t>Energivinst</t>
  </si>
  <si>
    <t>köldm.</t>
  </si>
  <si>
    <r>
      <t xml:space="preserve">Cos </t>
    </r>
    <r>
      <rPr>
        <sz val="9"/>
        <rFont val="Symbol"/>
        <family val="1"/>
        <charset val="2"/>
      </rPr>
      <t>j</t>
    </r>
    <r>
      <rPr>
        <sz val="9"/>
        <rFont val="Arial"/>
        <family val="2"/>
      </rPr>
      <t xml:space="preserve"> med i beräkning för tillförd el. effekt (E13).</t>
    </r>
  </si>
  <si>
    <t>Flöde kg / min</t>
  </si>
  <si>
    <t>fl. kg/min</t>
  </si>
  <si>
    <t>verkng. =</t>
  </si>
  <si>
    <t>*  isent.</t>
  </si>
  <si>
    <t>Noteringar</t>
  </si>
  <si>
    <t>Använd relevanta värden och mätningar!</t>
  </si>
  <si>
    <t xml:space="preserve">    kJ / kg köldmedium</t>
  </si>
  <si>
    <t xml:space="preserve">                                   Köldmedie-massflöde</t>
  </si>
  <si>
    <t xml:space="preserve"> kg köldmedie / sekund</t>
  </si>
  <si>
    <t>R290</t>
  </si>
  <si>
    <t>120°C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</si>
</sst>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000"/>
    <numFmt numFmtId="166" formatCode="0.000"/>
    <numFmt numFmtId="167" formatCode="d\ mmmm\ /yy"/>
    <numFmt numFmtId="168" formatCode="0.000000"/>
  </numFmts>
  <fonts count="18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Symbol"/>
      <family val="1"/>
      <charset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10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0"/>
      <name val="Symbol"/>
      <family val="1"/>
      <charset val="2"/>
    </font>
    <font>
      <sz val="10"/>
      <color indexed="8"/>
      <name val="Arial"/>
      <family val="2"/>
    </font>
    <font>
      <sz val="9"/>
      <name val="Arial"/>
      <family val="2"/>
    </font>
    <font>
      <sz val="12"/>
      <name val="Arial"/>
      <family val="2"/>
    </font>
    <font>
      <i/>
      <sz val="9"/>
      <name val="Arial"/>
      <family val="2"/>
    </font>
    <font>
      <sz val="2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349">
    <xf numFmtId="0" fontId="0" fillId="0" borderId="0" xfId="0"/>
    <xf numFmtId="0" fontId="3" fillId="0" borderId="0" xfId="0" applyFont="1"/>
    <xf numFmtId="0" fontId="5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0" fontId="1" fillId="0" borderId="1" xfId="0" applyFont="1" applyBorder="1"/>
    <xf numFmtId="0" fontId="0" fillId="0" borderId="5" xfId="0" applyBorder="1"/>
    <xf numFmtId="0" fontId="1" fillId="0" borderId="6" xfId="0" applyFont="1" applyBorder="1"/>
    <xf numFmtId="0" fontId="7" fillId="0" borderId="1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6" fontId="0" fillId="0" borderId="7" xfId="0" applyNumberFormat="1" applyBorder="1"/>
    <xf numFmtId="166" fontId="3" fillId="0" borderId="5" xfId="0" applyNumberFormat="1" applyFont="1" applyFill="1" applyBorder="1"/>
    <xf numFmtId="166" fontId="0" fillId="0" borderId="10" xfId="0" applyNumberFormat="1" applyBorder="1"/>
    <xf numFmtId="166" fontId="3" fillId="0" borderId="11" xfId="0" applyNumberFormat="1" applyFont="1" applyFill="1" applyBorder="1"/>
    <xf numFmtId="0" fontId="0" fillId="0" borderId="12" xfId="0" applyBorder="1"/>
    <xf numFmtId="0" fontId="0" fillId="0" borderId="4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64" fontId="8" fillId="0" borderId="16" xfId="0" applyNumberFormat="1" applyFont="1" applyBorder="1" applyAlignment="1" applyProtection="1">
      <alignment horizontal="center"/>
      <protection hidden="1"/>
    </xf>
    <xf numFmtId="2" fontId="0" fillId="0" borderId="17" xfId="0" applyNumberFormat="1" applyBorder="1"/>
    <xf numFmtId="0" fontId="0" fillId="0" borderId="18" xfId="0" applyBorder="1"/>
    <xf numFmtId="0" fontId="0" fillId="0" borderId="0" xfId="0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2" xfId="0" applyNumberFormat="1" applyBorder="1"/>
    <xf numFmtId="166" fontId="0" fillId="0" borderId="9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2" fontId="0" fillId="0" borderId="15" xfId="0" applyNumberFormat="1" applyBorder="1"/>
    <xf numFmtId="2" fontId="0" fillId="0" borderId="19" xfId="0" applyNumberFormat="1" applyBorder="1"/>
    <xf numFmtId="165" fontId="0" fillId="0" borderId="15" xfId="0" applyNumberFormat="1" applyBorder="1"/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18" xfId="0" applyBorder="1" applyAlignment="1">
      <alignment horizontal="center"/>
    </xf>
    <xf numFmtId="164" fontId="8" fillId="0" borderId="16" xfId="0" applyNumberFormat="1" applyFont="1" applyFill="1" applyBorder="1" applyAlignment="1" applyProtection="1">
      <alignment horizontal="center"/>
      <protection hidden="1"/>
    </xf>
    <xf numFmtId="164" fontId="3" fillId="2" borderId="16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Border="1" applyAlignment="1" applyProtection="1">
      <alignment horizontal="right"/>
      <protection hidden="1"/>
    </xf>
    <xf numFmtId="0" fontId="3" fillId="0" borderId="0" xfId="0" applyFont="1" applyBorder="1" applyProtection="1">
      <protection hidden="1"/>
    </xf>
    <xf numFmtId="0" fontId="3" fillId="0" borderId="20" xfId="0" applyFont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right"/>
      <protection hidden="1"/>
    </xf>
    <xf numFmtId="166" fontId="3" fillId="0" borderId="16" xfId="0" applyNumberFormat="1" applyFont="1" applyFill="1" applyBorder="1" applyAlignment="1" applyProtection="1">
      <alignment horizontal="center"/>
      <protection hidden="1"/>
    </xf>
    <xf numFmtId="0" fontId="3" fillId="0" borderId="16" xfId="0" applyFont="1" applyFill="1" applyBorder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164" fontId="3" fillId="0" borderId="16" xfId="0" applyNumberFormat="1" applyFont="1" applyBorder="1" applyAlignment="1" applyProtection="1">
      <alignment horizontal="center"/>
      <protection hidden="1"/>
    </xf>
    <xf numFmtId="0" fontId="3" fillId="0" borderId="7" xfId="0" applyFont="1" applyBorder="1" applyProtection="1">
      <protection hidden="1"/>
    </xf>
    <xf numFmtId="0" fontId="4" fillId="0" borderId="0" xfId="0" applyFont="1" applyBorder="1" applyProtection="1">
      <protection hidden="1"/>
    </xf>
    <xf numFmtId="164" fontId="3" fillId="0" borderId="16" xfId="0" applyNumberFormat="1" applyFont="1" applyFill="1" applyBorder="1" applyAlignment="1" applyProtection="1">
      <alignment horizontal="center"/>
      <protection hidden="1"/>
    </xf>
    <xf numFmtId="166" fontId="3" fillId="0" borderId="15" xfId="0" applyNumberFormat="1" applyFont="1" applyFill="1" applyBorder="1" applyProtection="1">
      <protection hidden="1"/>
    </xf>
    <xf numFmtId="0" fontId="3" fillId="0" borderId="21" xfId="0" applyFont="1" applyBorder="1" applyAlignment="1" applyProtection="1">
      <alignment horizontal="right"/>
      <protection hidden="1"/>
    </xf>
    <xf numFmtId="0" fontId="3" fillId="0" borderId="4" xfId="0" applyFont="1" applyBorder="1" applyProtection="1">
      <protection hidden="1"/>
    </xf>
    <xf numFmtId="168" fontId="3" fillId="0" borderId="0" xfId="0" applyNumberFormat="1" applyFont="1" applyProtection="1">
      <protection hidden="1"/>
    </xf>
    <xf numFmtId="0" fontId="3" fillId="2" borderId="16" xfId="0" applyFont="1" applyFill="1" applyBorder="1" applyAlignment="1" applyProtection="1">
      <alignment horizontal="center"/>
      <protection locked="0"/>
    </xf>
    <xf numFmtId="0" fontId="3" fillId="2" borderId="22" xfId="0" applyFont="1" applyFill="1" applyBorder="1" applyAlignment="1" applyProtection="1">
      <alignment horizontal="center"/>
      <protection locked="0"/>
    </xf>
    <xf numFmtId="0" fontId="3" fillId="0" borderId="23" xfId="0" applyFont="1" applyBorder="1" applyProtection="1">
      <protection hidden="1"/>
    </xf>
    <xf numFmtId="2" fontId="10" fillId="0" borderId="0" xfId="0" applyNumberFormat="1" applyFont="1" applyBorder="1" applyAlignment="1">
      <alignment horizontal="right"/>
    </xf>
    <xf numFmtId="164" fontId="10" fillId="0" borderId="0" xfId="0" applyNumberFormat="1" applyFont="1" applyBorder="1" applyAlignment="1">
      <alignment horizontal="right"/>
    </xf>
    <xf numFmtId="164" fontId="10" fillId="0" borderId="0" xfId="0" applyNumberFormat="1" applyFont="1" applyBorder="1"/>
    <xf numFmtId="164" fontId="10" fillId="0" borderId="0" xfId="0" applyNumberFormat="1" applyFont="1"/>
    <xf numFmtId="2" fontId="10" fillId="0" borderId="0" xfId="0" applyNumberFormat="1" applyFont="1" applyBorder="1"/>
    <xf numFmtId="2" fontId="10" fillId="0" borderId="0" xfId="0" applyNumberFormat="1" applyFont="1"/>
    <xf numFmtId="2" fontId="11" fillId="0" borderId="0" xfId="0" applyNumberFormat="1" applyFont="1"/>
    <xf numFmtId="165" fontId="10" fillId="0" borderId="0" xfId="0" applyNumberFormat="1" applyFont="1" applyBorder="1" applyAlignment="1">
      <alignment horizontal="center"/>
    </xf>
    <xf numFmtId="164" fontId="0" fillId="0" borderId="0" xfId="0" applyNumberFormat="1"/>
    <xf numFmtId="166" fontId="2" fillId="0" borderId="12" xfId="0" applyNumberFormat="1" applyFont="1" applyBorder="1" applyAlignment="1">
      <alignment horizontal="center"/>
    </xf>
    <xf numFmtId="164" fontId="3" fillId="0" borderId="0" xfId="0" applyNumberFormat="1" applyFont="1" applyProtection="1">
      <protection hidden="1"/>
    </xf>
    <xf numFmtId="164" fontId="3" fillId="0" borderId="0" xfId="0" applyNumberFormat="1" applyFont="1" applyBorder="1" applyProtection="1">
      <protection hidden="1"/>
    </xf>
    <xf numFmtId="164" fontId="0" fillId="0" borderId="0" xfId="0" applyNumberFormat="1" applyBorder="1"/>
    <xf numFmtId="165" fontId="3" fillId="0" borderId="2" xfId="0" applyNumberFormat="1" applyFont="1" applyBorder="1" applyProtection="1">
      <protection hidden="1"/>
    </xf>
    <xf numFmtId="0" fontId="13" fillId="0" borderId="0" xfId="0" applyFont="1"/>
    <xf numFmtId="0" fontId="0" fillId="0" borderId="6" xfId="0" applyBorder="1"/>
    <xf numFmtId="166" fontId="0" fillId="0" borderId="0" xfId="0" applyNumberFormat="1"/>
    <xf numFmtId="166" fontId="3" fillId="0" borderId="15" xfId="0" applyNumberFormat="1" applyFont="1" applyFill="1" applyBorder="1" applyAlignment="1" applyProtection="1">
      <alignment horizontal="right"/>
      <protection hidden="1"/>
    </xf>
    <xf numFmtId="0" fontId="5" fillId="0" borderId="1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/>
    <xf numFmtId="0" fontId="0" fillId="0" borderId="0" xfId="0" applyAlignment="1"/>
    <xf numFmtId="164" fontId="0" fillId="0" borderId="0" xfId="0" applyNumberFormat="1" applyAlignment="1">
      <alignment horizontal="center"/>
    </xf>
    <xf numFmtId="0" fontId="5" fillId="0" borderId="6" xfId="0" applyFont="1" applyBorder="1"/>
    <xf numFmtId="165" fontId="0" fillId="0" borderId="0" xfId="0" applyNumberFormat="1" applyAlignment="1">
      <alignment horizontal="center"/>
    </xf>
    <xf numFmtId="0" fontId="5" fillId="0" borderId="2" xfId="0" applyFont="1" applyBorder="1"/>
    <xf numFmtId="166" fontId="0" fillId="0" borderId="15" xfId="0" applyNumberFormat="1" applyBorder="1"/>
    <xf numFmtId="0" fontId="1" fillId="0" borderId="2" xfId="0" applyFont="1" applyBorder="1"/>
    <xf numFmtId="0" fontId="1" fillId="0" borderId="0" xfId="0" applyFont="1" applyBorder="1"/>
    <xf numFmtId="0" fontId="0" fillId="0" borderId="2" xfId="0" applyBorder="1" applyAlignment="1">
      <alignment horizontal="right"/>
    </xf>
    <xf numFmtId="0" fontId="7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12" fillId="0" borderId="2" xfId="0" applyFon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1" fillId="0" borderId="3" xfId="0" applyFont="1" applyBorder="1"/>
    <xf numFmtId="166" fontId="0" fillId="0" borderId="0" xfId="0" applyNumberFormat="1" applyBorder="1"/>
    <xf numFmtId="164" fontId="3" fillId="0" borderId="13" xfId="0" applyNumberFormat="1" applyFont="1" applyBorder="1" applyAlignment="1" applyProtection="1">
      <alignment horizontal="center"/>
      <protection hidden="1"/>
    </xf>
    <xf numFmtId="166" fontId="0" fillId="0" borderId="15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" fontId="4" fillId="0" borderId="20" xfId="0" applyNumberFormat="1" applyFont="1" applyBorder="1" applyAlignment="1" applyProtection="1">
      <alignment horizontal="center"/>
      <protection hidden="1"/>
    </xf>
    <xf numFmtId="1" fontId="3" fillId="0" borderId="0" xfId="0" applyNumberFormat="1" applyFont="1" applyBorder="1" applyAlignment="1" applyProtection="1">
      <alignment horizontal="right"/>
      <protection hidden="1"/>
    </xf>
    <xf numFmtId="164" fontId="8" fillId="0" borderId="22" xfId="0" applyNumberFormat="1" applyFont="1" applyBorder="1" applyAlignment="1" applyProtection="1">
      <alignment horizontal="center"/>
      <protection hidden="1"/>
    </xf>
    <xf numFmtId="2" fontId="3" fillId="0" borderId="5" xfId="0" applyNumberFormat="1" applyFont="1" applyBorder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protection hidden="1"/>
    </xf>
    <xf numFmtId="164" fontId="3" fillId="0" borderId="24" xfId="0" applyNumberFormat="1" applyFont="1" applyFill="1" applyBorder="1" applyAlignment="1" applyProtection="1">
      <alignment horizontal="center"/>
      <protection hidden="1"/>
    </xf>
    <xf numFmtId="0" fontId="3" fillId="0" borderId="25" xfId="0" applyFont="1" applyBorder="1" applyProtection="1">
      <protection hidden="1"/>
    </xf>
    <xf numFmtId="0" fontId="14" fillId="0" borderId="0" xfId="0" applyFont="1" applyProtection="1">
      <protection hidden="1"/>
    </xf>
    <xf numFmtId="0" fontId="3" fillId="0" borderId="0" xfId="0" applyFont="1" applyProtection="1">
      <protection locked="0" hidden="1"/>
    </xf>
    <xf numFmtId="0" fontId="3" fillId="0" borderId="0" xfId="0" applyFont="1" applyAlignment="1" applyProtection="1">
      <alignment horizontal="center"/>
      <protection hidden="1"/>
    </xf>
    <xf numFmtId="0" fontId="3" fillId="0" borderId="26" xfId="0" applyFont="1" applyBorder="1" applyAlignment="1" applyProtection="1">
      <alignment horizontal="center"/>
      <protection hidden="1"/>
    </xf>
    <xf numFmtId="0" fontId="3" fillId="0" borderId="21" xfId="0" applyFont="1" applyBorder="1" applyProtection="1">
      <protection hidden="1"/>
    </xf>
    <xf numFmtId="0" fontId="3" fillId="0" borderId="23" xfId="0" applyFont="1" applyFill="1" applyBorder="1" applyProtection="1"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3" fillId="0" borderId="27" xfId="0" applyFont="1" applyBorder="1" applyProtection="1">
      <protection hidden="1"/>
    </xf>
    <xf numFmtId="0" fontId="14" fillId="0" borderId="0" xfId="0" applyFont="1"/>
    <xf numFmtId="0" fontId="14" fillId="0" borderId="2" xfId="0" applyFont="1" applyBorder="1" applyProtection="1">
      <protection hidden="1"/>
    </xf>
    <xf numFmtId="0" fontId="14" fillId="0" borderId="0" xfId="0" applyFont="1" applyBorder="1" applyProtection="1">
      <protection hidden="1"/>
    </xf>
    <xf numFmtId="0" fontId="3" fillId="0" borderId="4" xfId="0" applyFont="1" applyBorder="1" applyAlignment="1" applyProtection="1">
      <alignment horizontal="right"/>
      <protection hidden="1"/>
    </xf>
    <xf numFmtId="0" fontId="3" fillId="0" borderId="1" xfId="0" applyFont="1" applyBorder="1" applyProtection="1">
      <protection hidden="1"/>
    </xf>
    <xf numFmtId="0" fontId="14" fillId="0" borderId="7" xfId="0" applyFont="1" applyBorder="1"/>
    <xf numFmtId="0" fontId="14" fillId="0" borderId="10" xfId="0" applyFont="1" applyBorder="1" applyProtection="1">
      <protection hidden="1"/>
    </xf>
    <xf numFmtId="166" fontId="14" fillId="0" borderId="15" xfId="0" applyNumberFormat="1" applyFont="1" applyBorder="1" applyProtection="1">
      <protection hidden="1"/>
    </xf>
    <xf numFmtId="164" fontId="3" fillId="2" borderId="16" xfId="0" applyNumberFormat="1" applyFont="1" applyFill="1" applyBorder="1" applyAlignment="1" applyProtection="1">
      <alignment horizontal="center"/>
      <protection locked="0" hidden="1"/>
    </xf>
    <xf numFmtId="164" fontId="9" fillId="0" borderId="28" xfId="0" applyNumberFormat="1" applyFont="1" applyBorder="1" applyAlignment="1" applyProtection="1">
      <alignment horizontal="center"/>
      <protection hidden="1"/>
    </xf>
    <xf numFmtId="164" fontId="9" fillId="0" borderId="29" xfId="0" applyNumberFormat="1" applyFont="1" applyBorder="1" applyAlignment="1" applyProtection="1">
      <alignment horizontal="center"/>
      <protection hidden="1"/>
    </xf>
    <xf numFmtId="0" fontId="14" fillId="0" borderId="20" xfId="0" applyFont="1" applyFill="1" applyBorder="1" applyAlignment="1"/>
    <xf numFmtId="166" fontId="14" fillId="0" borderId="0" xfId="0" applyNumberFormat="1" applyFont="1" applyBorder="1" applyProtection="1">
      <protection hidden="1"/>
    </xf>
    <xf numFmtId="0" fontId="0" fillId="0" borderId="5" xfId="0" applyBorder="1" applyAlignment="1">
      <alignment horizontal="center"/>
    </xf>
    <xf numFmtId="0" fontId="14" fillId="0" borderId="0" xfId="0" applyFont="1" applyFill="1" applyBorder="1" applyProtection="1">
      <protection hidden="1"/>
    </xf>
    <xf numFmtId="0" fontId="3" fillId="0" borderId="30" xfId="0" applyFont="1" applyBorder="1" applyAlignment="1" applyProtection="1">
      <alignment horizontal="left"/>
      <protection hidden="1"/>
    </xf>
    <xf numFmtId="0" fontId="3" fillId="0" borderId="31" xfId="0" applyFont="1" applyBorder="1" applyAlignment="1" applyProtection="1">
      <alignment horizontal="center"/>
      <protection hidden="1"/>
    </xf>
    <xf numFmtId="0" fontId="3" fillId="0" borderId="32" xfId="0" applyFont="1" applyBorder="1" applyAlignment="1" applyProtection="1">
      <alignment horizontal="center"/>
      <protection hidden="1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4" fillId="0" borderId="0" xfId="0" applyFont="1" applyFill="1" applyBorder="1" applyProtection="1">
      <protection hidden="1"/>
    </xf>
    <xf numFmtId="2" fontId="3" fillId="0" borderId="0" xfId="0" applyNumberFormat="1" applyFont="1" applyFill="1" applyBorder="1" applyProtection="1">
      <protection hidden="1"/>
    </xf>
    <xf numFmtId="0" fontId="3" fillId="0" borderId="0" xfId="0" applyFont="1" applyFill="1" applyBorder="1" applyProtection="1">
      <protection locked="0" hidden="1"/>
    </xf>
    <xf numFmtId="0" fontId="4" fillId="0" borderId="0" xfId="0" applyFont="1" applyFill="1" applyBorder="1" applyAlignment="1" applyProtection="1">
      <protection hidden="1"/>
    </xf>
    <xf numFmtId="0" fontId="14" fillId="0" borderId="0" xfId="0" applyFont="1" applyFill="1" applyBorder="1" applyAlignment="1"/>
    <xf numFmtId="0" fontId="3" fillId="0" borderId="16" xfId="0" applyFont="1" applyBorder="1" applyProtection="1">
      <protection hidden="1"/>
    </xf>
    <xf numFmtId="0" fontId="14" fillId="0" borderId="33" xfId="0" applyFont="1" applyFill="1" applyBorder="1" applyProtection="1">
      <protection hidden="1"/>
    </xf>
    <xf numFmtId="0" fontId="3" fillId="0" borderId="34" xfId="0" applyFont="1" applyFill="1" applyBorder="1" applyProtection="1">
      <protection hidden="1"/>
    </xf>
    <xf numFmtId="0" fontId="3" fillId="0" borderId="35" xfId="0" applyFont="1" applyFill="1" applyBorder="1" applyProtection="1">
      <protection hidden="1"/>
    </xf>
    <xf numFmtId="0" fontId="14" fillId="0" borderId="0" xfId="0" applyFont="1" applyBorder="1" applyAlignment="1" applyProtection="1">
      <alignment horizontal="right"/>
      <protection hidden="1"/>
    </xf>
    <xf numFmtId="0" fontId="3" fillId="0" borderId="36" xfId="0" applyFont="1" applyBorder="1" applyProtection="1">
      <protection hidden="1"/>
    </xf>
    <xf numFmtId="0" fontId="14" fillId="0" borderId="37" xfId="0" applyFont="1" applyBorder="1" applyProtection="1">
      <protection hidden="1"/>
    </xf>
    <xf numFmtId="164" fontId="3" fillId="2" borderId="22" xfId="0" applyNumberFormat="1" applyFont="1" applyFill="1" applyBorder="1" applyAlignment="1" applyProtection="1">
      <alignment horizontal="center"/>
      <protection locked="0" hidden="1"/>
    </xf>
    <xf numFmtId="166" fontId="0" fillId="0" borderId="6" xfId="0" applyNumberFormat="1" applyBorder="1"/>
    <xf numFmtId="166" fontId="0" fillId="0" borderId="9" xfId="0" applyNumberFormat="1" applyBorder="1"/>
    <xf numFmtId="166" fontId="0" fillId="0" borderId="12" xfId="0" applyNumberFormat="1" applyBorder="1"/>
    <xf numFmtId="164" fontId="0" fillId="0" borderId="13" xfId="0" applyNumberFormat="1" applyBorder="1" applyAlignment="1">
      <alignment horizontal="center"/>
    </xf>
    <xf numFmtId="2" fontId="3" fillId="0" borderId="13" xfId="0" applyNumberFormat="1" applyFont="1" applyBorder="1" applyAlignment="1" applyProtection="1">
      <alignment horizontal="center"/>
      <protection hidden="1"/>
    </xf>
    <xf numFmtId="165" fontId="3" fillId="0" borderId="13" xfId="0" applyNumberFormat="1" applyFont="1" applyBorder="1" applyAlignment="1" applyProtection="1">
      <alignment horizontal="center"/>
      <protection hidden="1"/>
    </xf>
    <xf numFmtId="164" fontId="3" fillId="0" borderId="0" xfId="0" applyNumberFormat="1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14" fillId="0" borderId="38" xfId="0" applyFont="1" applyBorder="1" applyProtection="1">
      <protection hidden="1"/>
    </xf>
    <xf numFmtId="2" fontId="15" fillId="0" borderId="0" xfId="0" applyNumberFormat="1" applyFont="1" applyBorder="1" applyAlignment="1">
      <alignment horizontal="right"/>
    </xf>
    <xf numFmtId="164" fontId="15" fillId="0" borderId="0" xfId="0" applyNumberFormat="1" applyFont="1"/>
    <xf numFmtId="164" fontId="15" fillId="0" borderId="0" xfId="0" applyNumberFormat="1" applyFont="1" applyBorder="1"/>
    <xf numFmtId="2" fontId="15" fillId="0" borderId="0" xfId="0" applyNumberFormat="1" applyFont="1"/>
    <xf numFmtId="2" fontId="15" fillId="0" borderId="0" xfId="0" applyNumberFormat="1" applyFont="1" applyBorder="1"/>
    <xf numFmtId="165" fontId="0" fillId="0" borderId="0" xfId="0" applyNumberFormat="1"/>
    <xf numFmtId="166" fontId="0" fillId="0" borderId="6" xfId="0" applyNumberFormat="1" applyBorder="1" applyAlignment="1">
      <alignment horizontal="center"/>
    </xf>
    <xf numFmtId="0" fontId="16" fillId="0" borderId="0" xfId="0" applyFont="1" applyProtection="1">
      <protection hidden="1"/>
    </xf>
    <xf numFmtId="0" fontId="3" fillId="0" borderId="0" xfId="0" applyFont="1" applyBorder="1" applyAlignment="1" applyProtection="1">
      <alignment horizontal="center"/>
      <protection hidden="1"/>
    </xf>
    <xf numFmtId="1" fontId="3" fillId="0" borderId="0" xfId="0" applyNumberFormat="1" applyFont="1" applyBorder="1" applyAlignment="1" applyProtection="1">
      <alignment horizontal="center"/>
      <protection hidden="1"/>
    </xf>
    <xf numFmtId="166" fontId="3" fillId="0" borderId="12" xfId="0" applyNumberFormat="1" applyFont="1" applyFill="1" applyBorder="1" applyProtection="1">
      <protection hidden="1"/>
    </xf>
    <xf numFmtId="166" fontId="3" fillId="0" borderId="39" xfId="0" applyNumberFormat="1" applyFont="1" applyFill="1" applyBorder="1" applyProtection="1">
      <protection hidden="1"/>
    </xf>
    <xf numFmtId="0" fontId="3" fillId="0" borderId="10" xfId="0" applyFont="1" applyBorder="1" applyProtection="1">
      <protection hidden="1"/>
    </xf>
    <xf numFmtId="0" fontId="4" fillId="0" borderId="10" xfId="0" applyFont="1" applyBorder="1" applyAlignment="1" applyProtection="1">
      <alignment horizontal="right"/>
      <protection hidden="1"/>
    </xf>
    <xf numFmtId="0" fontId="4" fillId="0" borderId="5" xfId="0" applyFont="1" applyBorder="1" applyAlignment="1" applyProtection="1">
      <alignment horizontal="right"/>
      <protection hidden="1"/>
    </xf>
    <xf numFmtId="0" fontId="3" fillId="0" borderId="8" xfId="0" applyFont="1" applyBorder="1" applyAlignment="1" applyProtection="1">
      <alignment horizontal="right"/>
      <protection hidden="1"/>
    </xf>
    <xf numFmtId="0" fontId="14" fillId="0" borderId="3" xfId="0" applyFont="1" applyBorder="1" applyProtection="1">
      <protection hidden="1"/>
    </xf>
    <xf numFmtId="0" fontId="4" fillId="0" borderId="8" xfId="0" applyFont="1" applyBorder="1" applyAlignment="1" applyProtection="1">
      <alignment horizontal="right"/>
      <protection hidden="1"/>
    </xf>
    <xf numFmtId="0" fontId="3" fillId="0" borderId="11" xfId="0" applyFont="1" applyBorder="1" applyAlignment="1" applyProtection="1">
      <alignment horizontal="right"/>
      <protection hidden="1"/>
    </xf>
    <xf numFmtId="2" fontId="3" fillId="0" borderId="23" xfId="0" applyNumberFormat="1" applyFont="1" applyFill="1" applyBorder="1" applyAlignment="1" applyProtection="1">
      <alignment horizontal="center"/>
      <protection locked="0"/>
    </xf>
    <xf numFmtId="0" fontId="14" fillId="0" borderId="1" xfId="0" applyFont="1" applyBorder="1" applyProtection="1">
      <protection hidden="1"/>
    </xf>
    <xf numFmtId="166" fontId="3" fillId="2" borderId="40" xfId="0" applyNumberFormat="1" applyFont="1" applyFill="1" applyBorder="1" applyAlignment="1" applyProtection="1">
      <alignment horizontal="center"/>
      <protection locked="0"/>
    </xf>
    <xf numFmtId="0" fontId="3" fillId="0" borderId="41" xfId="0" applyFont="1" applyBorder="1" applyAlignment="1" applyProtection="1">
      <alignment horizontal="right"/>
      <protection hidden="1"/>
    </xf>
    <xf numFmtId="0" fontId="3" fillId="0" borderId="20" xfId="0" applyFont="1" applyBorder="1" applyAlignment="1" applyProtection="1">
      <alignment horizontal="right"/>
      <protection hidden="1"/>
    </xf>
    <xf numFmtId="0" fontId="3" fillId="0" borderId="42" xfId="0" applyFont="1" applyBorder="1" applyAlignment="1" applyProtection="1">
      <alignment horizontal="right"/>
      <protection hidden="1"/>
    </xf>
    <xf numFmtId="0" fontId="14" fillId="0" borderId="20" xfId="0" applyFont="1" applyBorder="1" applyAlignment="1">
      <alignment horizontal="right"/>
    </xf>
    <xf numFmtId="0" fontId="14" fillId="0" borderId="42" xfId="0" applyFont="1" applyBorder="1" applyAlignment="1">
      <alignment horizontal="right"/>
    </xf>
    <xf numFmtId="0" fontId="3" fillId="0" borderId="7" xfId="0" applyFont="1" applyBorder="1" applyAlignment="1" applyProtection="1">
      <alignment horizontal="right"/>
      <protection hidden="1"/>
    </xf>
    <xf numFmtId="0" fontId="14" fillId="0" borderId="4" xfId="0" applyFont="1" applyBorder="1" applyProtection="1">
      <protection hidden="1"/>
    </xf>
    <xf numFmtId="0" fontId="3" fillId="0" borderId="14" xfId="0" applyFont="1" applyBorder="1" applyProtection="1">
      <protection hidden="1"/>
    </xf>
    <xf numFmtId="0" fontId="3" fillId="0" borderId="43" xfId="0" applyFont="1" applyBorder="1" applyAlignment="1" applyProtection="1">
      <alignment horizontal="right"/>
      <protection hidden="1"/>
    </xf>
    <xf numFmtId="0" fontId="3" fillId="0" borderId="14" xfId="0" applyFont="1" applyBorder="1" applyAlignment="1" applyProtection="1">
      <alignment horizontal="right"/>
      <protection hidden="1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/>
    </xf>
    <xf numFmtId="0" fontId="5" fillId="0" borderId="15" xfId="0" applyFont="1" applyBorder="1" applyProtection="1">
      <protection hidden="1"/>
    </xf>
    <xf numFmtId="2" fontId="3" fillId="0" borderId="15" xfId="0" applyNumberFormat="1" applyFont="1" applyBorder="1" applyAlignment="1" applyProtection="1">
      <alignment horizontal="center"/>
      <protection hidden="1"/>
    </xf>
    <xf numFmtId="166" fontId="3" fillId="0" borderId="16" xfId="0" applyNumberFormat="1" applyFont="1" applyBorder="1" applyAlignment="1" applyProtection="1">
      <alignment horizontal="center"/>
      <protection hidden="1"/>
    </xf>
    <xf numFmtId="166" fontId="3" fillId="0" borderId="40" xfId="0" applyNumberFormat="1" applyFont="1" applyBorder="1" applyAlignment="1" applyProtection="1">
      <alignment horizontal="center"/>
      <protection hidden="1"/>
    </xf>
    <xf numFmtId="164" fontId="9" fillId="0" borderId="44" xfId="0" applyNumberFormat="1" applyFont="1" applyBorder="1" applyAlignment="1" applyProtection="1">
      <alignment horizontal="center"/>
      <protection hidden="1"/>
    </xf>
    <xf numFmtId="166" fontId="3" fillId="0" borderId="15" xfId="0" applyNumberFormat="1" applyFont="1" applyBorder="1"/>
    <xf numFmtId="166" fontId="14" fillId="2" borderId="45" xfId="0" applyNumberFormat="1" applyFont="1" applyFill="1" applyBorder="1" applyAlignment="1" applyProtection="1">
      <alignment horizontal="center"/>
      <protection locked="0"/>
    </xf>
    <xf numFmtId="0" fontId="3" fillId="2" borderId="46" xfId="0" applyNumberFormat="1" applyFont="1" applyFill="1" applyBorder="1" applyAlignment="1" applyProtection="1">
      <alignment horizontal="center"/>
      <protection locked="0"/>
    </xf>
    <xf numFmtId="0" fontId="3" fillId="2" borderId="47" xfId="0" applyNumberFormat="1" applyFont="1" applyFill="1" applyBorder="1" applyAlignment="1" applyProtection="1">
      <alignment horizontal="center"/>
      <protection locked="0"/>
    </xf>
    <xf numFmtId="166" fontId="14" fillId="2" borderId="47" xfId="0" applyNumberFormat="1" applyFont="1" applyFill="1" applyBorder="1" applyAlignment="1" applyProtection="1">
      <alignment horizontal="center"/>
      <protection locked="0"/>
    </xf>
    <xf numFmtId="164" fontId="3" fillId="2" borderId="46" xfId="0" applyNumberFormat="1" applyFont="1" applyFill="1" applyBorder="1" applyAlignment="1" applyProtection="1">
      <alignment horizontal="center"/>
      <protection locked="0"/>
    </xf>
    <xf numFmtId="164" fontId="14" fillId="2" borderId="45" xfId="0" applyNumberFormat="1" applyFont="1" applyFill="1" applyBorder="1" applyAlignment="1" applyProtection="1">
      <alignment horizontal="center"/>
      <protection locked="0"/>
    </xf>
    <xf numFmtId="164" fontId="3" fillId="2" borderId="48" xfId="0" applyNumberFormat="1" applyFont="1" applyFill="1" applyBorder="1" applyAlignment="1" applyProtection="1">
      <alignment horizontal="center"/>
      <protection locked="0"/>
    </xf>
    <xf numFmtId="164" fontId="14" fillId="2" borderId="47" xfId="0" applyNumberFormat="1" applyFont="1" applyFill="1" applyBorder="1" applyAlignment="1" applyProtection="1">
      <alignment horizontal="center"/>
      <protection locked="0"/>
    </xf>
    <xf numFmtId="2" fontId="3" fillId="2" borderId="49" xfId="0" applyNumberFormat="1" applyFont="1" applyFill="1" applyBorder="1" applyAlignment="1" applyProtection="1">
      <alignment horizontal="center"/>
      <protection locked="0"/>
    </xf>
    <xf numFmtId="2" fontId="14" fillId="2" borderId="50" xfId="0" applyNumberFormat="1" applyFont="1" applyFill="1" applyBorder="1" applyAlignment="1" applyProtection="1">
      <alignment horizontal="center"/>
      <protection locked="0"/>
    </xf>
    <xf numFmtId="2" fontId="3" fillId="2" borderId="51" xfId="0" applyNumberFormat="1" applyFont="1" applyFill="1" applyBorder="1" applyAlignment="1" applyProtection="1">
      <alignment horizontal="center"/>
      <protection locked="0"/>
    </xf>
    <xf numFmtId="2" fontId="14" fillId="2" borderId="52" xfId="0" applyNumberFormat="1" applyFont="1" applyFill="1" applyBorder="1" applyAlignment="1" applyProtection="1">
      <alignment horizontal="center"/>
      <protection locked="0"/>
    </xf>
    <xf numFmtId="166" fontId="3" fillId="0" borderId="53" xfId="0" applyNumberFormat="1" applyFont="1" applyBorder="1" applyAlignment="1" applyProtection="1">
      <alignment horizontal="center"/>
      <protection hidden="1"/>
    </xf>
    <xf numFmtId="166" fontId="3" fillId="0" borderId="15" xfId="0" applyNumberFormat="1" applyFont="1" applyBorder="1" applyAlignment="1" applyProtection="1">
      <alignment horizontal="center"/>
      <protection hidden="1"/>
    </xf>
    <xf numFmtId="166" fontId="3" fillId="0" borderId="15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right"/>
      <protection hidden="1"/>
    </xf>
    <xf numFmtId="0" fontId="14" fillId="0" borderId="33" xfId="0" applyFont="1" applyFill="1" applyBorder="1" applyAlignment="1" applyProtection="1">
      <alignment horizontal="right"/>
      <protection hidden="1"/>
    </xf>
    <xf numFmtId="0" fontId="4" fillId="0" borderId="33" xfId="0" applyFont="1" applyFill="1" applyBorder="1" applyAlignment="1" applyProtection="1">
      <alignment horizontal="right"/>
      <protection hidden="1"/>
    </xf>
    <xf numFmtId="0" fontId="14" fillId="0" borderId="3" xfId="0" applyFont="1" applyFill="1" applyBorder="1" applyAlignment="1" applyProtection="1">
      <alignment horizontal="right"/>
      <protection hidden="1"/>
    </xf>
    <xf numFmtId="0" fontId="0" fillId="0" borderId="0" xfId="0" applyFill="1" applyProtection="1">
      <protection hidden="1"/>
    </xf>
    <xf numFmtId="0" fontId="0" fillId="0" borderId="15" xfId="0" applyFill="1" applyBorder="1" applyProtection="1">
      <protection hidden="1"/>
    </xf>
    <xf numFmtId="0" fontId="0" fillId="0" borderId="15" xfId="0" applyFill="1" applyBorder="1" applyAlignment="1" applyProtection="1">
      <alignment horizontal="center"/>
      <protection hidden="1"/>
    </xf>
    <xf numFmtId="0" fontId="0" fillId="0" borderId="15" xfId="0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/>
      <protection hidden="1"/>
    </xf>
    <xf numFmtId="0" fontId="12" fillId="0" borderId="15" xfId="0" applyFont="1" applyFill="1" applyBorder="1" applyAlignment="1" applyProtection="1">
      <alignment horizontal="center"/>
      <protection hidden="1"/>
    </xf>
    <xf numFmtId="2" fontId="0" fillId="0" borderId="15" xfId="0" applyNumberFormat="1" applyFill="1" applyBorder="1" applyAlignment="1" applyProtection="1">
      <alignment horizontal="center"/>
      <protection hidden="1"/>
    </xf>
    <xf numFmtId="0" fontId="0" fillId="0" borderId="9" xfId="0" applyFill="1" applyBorder="1" applyProtection="1">
      <protection hidden="1"/>
    </xf>
    <xf numFmtId="0" fontId="0" fillId="0" borderId="0" xfId="0" applyFill="1" applyAlignment="1" applyProtection="1">
      <alignment horizontal="right"/>
      <protection hidden="1"/>
    </xf>
    <xf numFmtId="0" fontId="0" fillId="0" borderId="4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0" xfId="0" applyProtection="1">
      <protection hidden="1"/>
    </xf>
    <xf numFmtId="0" fontId="0" fillId="0" borderId="6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12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0" fontId="0" fillId="0" borderId="1" xfId="0" applyBorder="1" applyProtection="1">
      <protection hidden="1"/>
    </xf>
    <xf numFmtId="0" fontId="0" fillId="0" borderId="5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54" xfId="0" applyBorder="1" applyAlignment="1" applyProtection="1">
      <alignment horizontal="center" vertic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12" xfId="0" applyBorder="1" applyAlignment="1" applyProtection="1">
      <protection hidden="1"/>
    </xf>
    <xf numFmtId="166" fontId="0" fillId="0" borderId="15" xfId="0" applyNumberFormat="1" applyBorder="1" applyProtection="1"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54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166" fontId="0" fillId="0" borderId="15" xfId="0" applyNumberFormat="1" applyBorder="1" applyAlignment="1" applyProtection="1">
      <alignment horizontal="center"/>
      <protection hidden="1"/>
    </xf>
    <xf numFmtId="166" fontId="3" fillId="2" borderId="46" xfId="0" applyNumberFormat="1" applyFont="1" applyFill="1" applyBorder="1" applyAlignment="1" applyProtection="1">
      <alignment horizontal="center"/>
      <protection locked="0"/>
    </xf>
    <xf numFmtId="166" fontId="3" fillId="2" borderId="47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left"/>
      <protection locked="0"/>
    </xf>
    <xf numFmtId="49" fontId="3" fillId="0" borderId="0" xfId="0" applyNumberFormat="1" applyFont="1" applyFill="1" applyBorder="1" applyAlignment="1" applyProtection="1">
      <alignment horizontal="left"/>
      <protection locked="0"/>
    </xf>
    <xf numFmtId="167" fontId="0" fillId="0" borderId="23" xfId="0" applyNumberFormat="1" applyFill="1" applyBorder="1" applyAlignment="1" applyProtection="1">
      <protection locked="0"/>
    </xf>
    <xf numFmtId="167" fontId="0" fillId="0" borderId="60" xfId="0" applyNumberFormat="1" applyFill="1" applyBorder="1" applyAlignment="1" applyProtection="1">
      <protection locked="0"/>
    </xf>
    <xf numFmtId="0" fontId="0" fillId="0" borderId="21" xfId="0" applyFill="1" applyBorder="1" applyAlignment="1" applyProtection="1">
      <alignment horizontal="left"/>
      <protection locked="0"/>
    </xf>
    <xf numFmtId="0" fontId="0" fillId="0" borderId="20" xfId="0" applyFill="1" applyBorder="1" applyAlignment="1" applyProtection="1">
      <alignment horizontal="left"/>
      <protection locked="0"/>
    </xf>
    <xf numFmtId="0" fontId="0" fillId="0" borderId="23" xfId="0" applyFill="1" applyBorder="1" applyAlignment="1" applyProtection="1">
      <alignment horizontal="center"/>
      <protection locked="0"/>
    </xf>
    <xf numFmtId="167" fontId="7" fillId="0" borderId="59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left"/>
      <protection locked="0"/>
    </xf>
    <xf numFmtId="0" fontId="7" fillId="0" borderId="21" xfId="0" applyFont="1" applyFill="1" applyBorder="1" applyAlignment="1" applyProtection="1">
      <alignment horizontal="left"/>
      <protection locked="0"/>
    </xf>
    <xf numFmtId="0" fontId="7" fillId="0" borderId="63" xfId="0" applyFont="1" applyFill="1" applyBorder="1" applyAlignment="1" applyProtection="1">
      <alignment horizontal="left"/>
    </xf>
    <xf numFmtId="0" fontId="0" fillId="0" borderId="61" xfId="0" applyFill="1" applyBorder="1" applyAlignment="1" applyProtection="1">
      <alignment horizontal="left"/>
    </xf>
    <xf numFmtId="0" fontId="0" fillId="0" borderId="62" xfId="0" applyFill="1" applyBorder="1" applyAlignment="1" applyProtection="1">
      <alignment horizontal="left"/>
    </xf>
    <xf numFmtId="0" fontId="3" fillId="0" borderId="0" xfId="0" applyFont="1" applyBorder="1" applyProtection="1">
      <protection locked="0"/>
    </xf>
    <xf numFmtId="1" fontId="3" fillId="0" borderId="0" xfId="0" applyNumberFormat="1" applyFont="1" applyBorder="1" applyAlignment="1" applyProtection="1">
      <alignment horizontal="center"/>
      <protection locked="0"/>
    </xf>
    <xf numFmtId="0" fontId="3" fillId="2" borderId="45" xfId="0" applyNumberFormat="1" applyFont="1" applyFill="1" applyBorder="1" applyAlignment="1" applyProtection="1">
      <alignment horizontal="center"/>
      <protection locked="0"/>
    </xf>
    <xf numFmtId="0" fontId="3" fillId="2" borderId="47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hidden="1"/>
    </xf>
    <xf numFmtId="0" fontId="10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63" xfId="0" applyFont="1" applyBorder="1" applyAlignment="1">
      <alignment horizontal="center" vertical="center"/>
    </xf>
    <xf numFmtId="0" fontId="10" fillId="0" borderId="61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4" fillId="0" borderId="0" xfId="0" applyNumberFormat="1" applyFont="1" applyFill="1" applyBorder="1" applyAlignment="1" applyProtection="1">
      <alignment horizontal="right"/>
    </xf>
    <xf numFmtId="0" fontId="0" fillId="0" borderId="0" xfId="0" applyAlignment="1" applyProtection="1">
      <alignment horizontal="right"/>
    </xf>
    <xf numFmtId="0" fontId="3" fillId="0" borderId="57" xfId="0" applyFont="1" applyFill="1" applyBorder="1" applyAlignment="1" applyProtection="1">
      <alignment horizontal="center"/>
      <protection hidden="1"/>
    </xf>
    <xf numFmtId="0" fontId="3" fillId="0" borderId="58" xfId="0" applyFont="1" applyFill="1" applyBorder="1" applyAlignment="1" applyProtection="1">
      <alignment horizontal="center"/>
      <protection hidden="1"/>
    </xf>
    <xf numFmtId="0" fontId="14" fillId="0" borderId="1" xfId="0" applyFont="1" applyBorder="1" applyAlignment="1" applyProtection="1">
      <alignment horizontal="right"/>
      <protection hidden="1"/>
    </xf>
    <xf numFmtId="0" fontId="0" fillId="0" borderId="7" xfId="0" applyBorder="1" applyAlignment="1">
      <alignment horizontal="right"/>
    </xf>
    <xf numFmtId="0" fontId="14" fillId="0" borderId="1" xfId="0" applyFont="1" applyBorder="1" applyAlignment="1" applyProtection="1">
      <alignment horizontal="right" vertical="center"/>
      <protection hidden="1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14" fillId="0" borderId="2" xfId="0" applyFont="1" applyBorder="1" applyAlignment="1" applyProtection="1">
      <alignment horizontal="right" vertical="center"/>
      <protection hidden="1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1" xfId="0" applyFont="1" applyBorder="1" applyAlignment="1" applyProtection="1">
      <alignment horizontal="right" vertical="center"/>
      <protection hidden="1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0" borderId="1" xfId="0" applyFont="1" applyBorder="1" applyAlignment="1" applyProtection="1">
      <alignment horizontal="right"/>
      <protection hidden="1"/>
    </xf>
    <xf numFmtId="0" fontId="0" fillId="0" borderId="7" xfId="0" applyBorder="1" applyAlignment="1"/>
    <xf numFmtId="0" fontId="3" fillId="0" borderId="0" xfId="0" applyFont="1" applyAlignment="1" applyProtection="1">
      <alignment horizontal="right"/>
      <protection hidden="1"/>
    </xf>
    <xf numFmtId="0" fontId="1" fillId="0" borderId="6" xfId="0" applyFont="1" applyBorder="1" applyAlignment="1" applyProtection="1">
      <alignment vertical="center"/>
      <protection hidden="1"/>
    </xf>
    <xf numFmtId="0" fontId="1" fillId="0" borderId="12" xfId="0" applyFont="1" applyBorder="1" applyAlignment="1" applyProtection="1">
      <alignment vertical="center"/>
      <protection hidden="1"/>
    </xf>
    <xf numFmtId="165" fontId="0" fillId="0" borderId="6" xfId="0" applyNumberFormat="1" applyBorder="1" applyAlignment="1" applyProtection="1">
      <alignment horizontal="center" vertical="center"/>
      <protection hidden="1"/>
    </xf>
    <xf numFmtId="165" fontId="0" fillId="0" borderId="12" xfId="0" applyNumberFormat="1" applyBorder="1" applyAlignment="1" applyProtection="1">
      <alignment vertical="center"/>
      <protection hidden="1"/>
    </xf>
    <xf numFmtId="165" fontId="0" fillId="0" borderId="12" xfId="0" applyNumberForma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left"/>
      <protection hidden="1"/>
    </xf>
    <xf numFmtId="0" fontId="0" fillId="0" borderId="14" xfId="0" applyFill="1" applyBorder="1" applyAlignment="1" applyProtection="1">
      <alignment horizontal="left"/>
      <protection hidden="1"/>
    </xf>
    <xf numFmtId="0" fontId="0" fillId="0" borderId="13" xfId="0" applyFill="1" applyBorder="1" applyAlignment="1" applyProtection="1">
      <alignment horizontal="left"/>
      <protection hidden="1"/>
    </xf>
    <xf numFmtId="0" fontId="0" fillId="0" borderId="4" xfId="0" applyNumberFormat="1" applyFill="1" applyBorder="1" applyAlignment="1" applyProtection="1">
      <alignment horizontal="left"/>
      <protection hidden="1"/>
    </xf>
    <xf numFmtId="0" fontId="0" fillId="0" borderId="14" xfId="0" applyNumberFormat="1" applyBorder="1" applyAlignment="1" applyProtection="1">
      <alignment horizontal="left"/>
      <protection hidden="1"/>
    </xf>
    <xf numFmtId="0" fontId="0" fillId="0" borderId="13" xfId="0" applyNumberFormat="1" applyBorder="1" applyAlignment="1" applyProtection="1">
      <alignment horizontal="left"/>
      <protection hidden="1"/>
    </xf>
    <xf numFmtId="167" fontId="0" fillId="0" borderId="4" xfId="0" applyNumberFormat="1" applyFill="1" applyBorder="1" applyAlignment="1" applyProtection="1">
      <alignment horizontal="center"/>
      <protection hidden="1"/>
    </xf>
    <xf numFmtId="0" fontId="0" fillId="0" borderId="1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12" xfId="0" applyBorder="1" applyAlignment="1" applyProtection="1">
      <alignment vertic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552450</xdr:colOff>
          <xdr:row>9</xdr:row>
          <xdr:rowOff>28575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161925</xdr:rowOff>
        </xdr:from>
        <xdr:to>
          <xdr:col>5</xdr:col>
          <xdr:colOff>466725</xdr:colOff>
          <xdr:row>36</xdr:row>
          <xdr:rowOff>19050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M188"/>
  <sheetViews>
    <sheetView tabSelected="1" zoomScale="150" zoomScaleNormal="150" workbookViewId="0">
      <selection activeCell="E10" sqref="E10"/>
    </sheetView>
  </sheetViews>
  <sheetFormatPr defaultRowHeight="12.4" customHeight="1" x14ac:dyDescent="0.2"/>
  <cols>
    <col min="1" max="1" width="9.28515625" customWidth="1"/>
    <col min="5" max="5" width="10.28515625" bestFit="1" customWidth="1"/>
    <col min="6" max="6" width="9.5703125" customWidth="1"/>
    <col min="7" max="7" width="9.28515625" bestFit="1" customWidth="1"/>
    <col min="9" max="9" width="10.140625" bestFit="1" customWidth="1"/>
    <col min="10" max="10" width="9.7109375" customWidth="1"/>
  </cols>
  <sheetData>
    <row r="1" spans="1:13" ht="12.4" customHeight="1" thickBot="1" x14ac:dyDescent="0.25">
      <c r="F1" t="s">
        <v>174</v>
      </c>
    </row>
    <row r="2" spans="1:13" ht="12.4" customHeight="1" x14ac:dyDescent="0.2">
      <c r="A2" s="299" t="s">
        <v>215</v>
      </c>
      <c r="B2" s="300"/>
      <c r="C2" s="300"/>
      <c r="D2" s="301"/>
      <c r="E2" s="204"/>
      <c r="F2" s="205"/>
      <c r="G2" s="282" t="s">
        <v>210</v>
      </c>
      <c r="H2" s="281"/>
      <c r="I2" s="277"/>
      <c r="J2" s="278"/>
    </row>
    <row r="3" spans="1:13" ht="12.4" customHeight="1" x14ac:dyDescent="0.2">
      <c r="A3" s="302"/>
      <c r="B3" s="303"/>
      <c r="C3" s="303"/>
      <c r="D3" s="304"/>
      <c r="E3" s="204"/>
      <c r="F3" s="206"/>
      <c r="G3" s="279"/>
      <c r="H3" s="275"/>
      <c r="I3" s="275"/>
      <c r="J3" s="280"/>
    </row>
    <row r="4" spans="1:13" ht="12.4" customHeight="1" thickBot="1" x14ac:dyDescent="0.25">
      <c r="A4" s="305"/>
      <c r="B4" s="306"/>
      <c r="C4" s="306"/>
      <c r="D4" s="307"/>
      <c r="E4" s="204"/>
      <c r="F4" s="204"/>
      <c r="G4" s="284"/>
      <c r="H4" s="283"/>
      <c r="I4" s="275"/>
      <c r="J4" s="280"/>
    </row>
    <row r="5" spans="1:13" ht="12.4" customHeight="1" x14ac:dyDescent="0.2">
      <c r="A5" s="293"/>
      <c r="B5" s="294"/>
      <c r="C5" s="294"/>
      <c r="D5" s="295"/>
      <c r="E5" s="204"/>
      <c r="F5" s="205"/>
      <c r="G5" s="279"/>
      <c r="H5" s="275"/>
      <c r="I5" s="275"/>
      <c r="J5" s="280"/>
    </row>
    <row r="6" spans="1:13" ht="12.4" customHeight="1" x14ac:dyDescent="0.2">
      <c r="A6" s="293"/>
      <c r="B6" s="294"/>
      <c r="C6" s="294"/>
      <c r="D6" s="295"/>
      <c r="E6" s="204"/>
      <c r="F6" s="204"/>
      <c r="G6" s="279"/>
      <c r="H6" s="275"/>
      <c r="I6" s="275"/>
      <c r="J6" s="280"/>
    </row>
    <row r="7" spans="1:13" ht="12.75" customHeight="1" thickBot="1" x14ac:dyDescent="0.25">
      <c r="A7" s="296"/>
      <c r="B7" s="297"/>
      <c r="C7" s="297"/>
      <c r="D7" s="298"/>
      <c r="E7" s="308"/>
      <c r="F7" s="309"/>
      <c r="G7" s="285" t="s">
        <v>211</v>
      </c>
      <c r="H7" s="286"/>
      <c r="I7" s="286"/>
      <c r="J7" s="287"/>
    </row>
    <row r="8" spans="1:13" ht="12.75" customHeight="1" x14ac:dyDescent="0.2">
      <c r="A8" s="330" t="s">
        <v>99</v>
      </c>
      <c r="B8" s="330"/>
      <c r="C8" s="49" t="s">
        <v>215</v>
      </c>
      <c r="D8" s="50"/>
      <c r="E8" s="204"/>
      <c r="F8" s="207"/>
      <c r="G8" s="276"/>
      <c r="H8" s="275"/>
      <c r="I8" s="275"/>
      <c r="J8" s="275"/>
    </row>
    <row r="9" spans="1:13" s="2" customFormat="1" ht="12.75" customHeight="1" thickBot="1" x14ac:dyDescent="0.25">
      <c r="A9" s="123" t="b">
        <v>0</v>
      </c>
      <c r="B9" s="48"/>
      <c r="C9" s="124" t="s">
        <v>2</v>
      </c>
      <c r="D9" s="124" t="s">
        <v>1</v>
      </c>
      <c r="E9" s="124" t="s">
        <v>0</v>
      </c>
      <c r="F9" s="48"/>
      <c r="G9" s="53" t="s">
        <v>205</v>
      </c>
      <c r="H9" s="48"/>
      <c r="I9" s="125"/>
      <c r="J9" s="125"/>
    </row>
    <row r="10" spans="1:13" ht="12.75" customHeight="1" thickBot="1" x14ac:dyDescent="0.25">
      <c r="B10" s="51" t="s">
        <v>197</v>
      </c>
      <c r="C10" s="68">
        <v>400</v>
      </c>
      <c r="D10" s="68">
        <v>400</v>
      </c>
      <c r="E10" s="68">
        <v>400</v>
      </c>
      <c r="F10" s="51" t="s">
        <v>60</v>
      </c>
      <c r="G10" s="47">
        <v>0.7</v>
      </c>
      <c r="H10" s="52"/>
      <c r="I10" s="310" t="s">
        <v>5</v>
      </c>
      <c r="J10" s="311"/>
      <c r="M10" s="3"/>
    </row>
    <row r="11" spans="1:13" ht="12.75" customHeight="1" thickBot="1" x14ac:dyDescent="0.25">
      <c r="A11" s="48"/>
      <c r="B11" s="51" t="s">
        <v>176</v>
      </c>
      <c r="C11" s="68">
        <v>4.04</v>
      </c>
      <c r="D11" s="68">
        <v>4.04</v>
      </c>
      <c r="E11" s="68">
        <v>4.04</v>
      </c>
      <c r="F11" s="65"/>
      <c r="G11" s="191"/>
      <c r="H11" s="53"/>
      <c r="I11" s="126" t="s">
        <v>212</v>
      </c>
      <c r="J11" s="54"/>
    </row>
    <row r="12" spans="1:13" s="2" customFormat="1" ht="12.75" customHeight="1" thickBot="1" x14ac:dyDescent="0.25">
      <c r="A12" s="50" t="str">
        <f>IF(A9,'Blad2 '!E1,'Blad2 '!E2)</f>
        <v>3 phas</v>
      </c>
      <c r="B12" s="48"/>
      <c r="C12" s="127"/>
      <c r="D12" s="55"/>
      <c r="E12" s="127"/>
      <c r="F12" s="128"/>
      <c r="G12" s="128"/>
      <c r="H12" s="53"/>
      <c r="I12" s="121" t="s">
        <v>14</v>
      </c>
      <c r="J12" s="129"/>
    </row>
    <row r="13" spans="1:13" ht="12.75" customHeight="1" thickBot="1" x14ac:dyDescent="0.25">
      <c r="A13" s="50"/>
      <c r="B13" s="51"/>
      <c r="C13" s="55"/>
      <c r="D13" s="56" t="str">
        <f>IF(A9,'Blad2 '!E4,'Blad2 '!E5)</f>
        <v xml:space="preserve">           Elektrisk effekt 3 phas  </v>
      </c>
      <c r="E13" s="57">
        <f>IF(A9,'Blad2 '!J4,'Blad2 '!J5)</f>
        <v>1.9592958735219135</v>
      </c>
      <c r="F13" s="48" t="s">
        <v>171</v>
      </c>
      <c r="G13" s="48"/>
      <c r="H13" s="124"/>
      <c r="I13" s="58" t="s">
        <v>4</v>
      </c>
      <c r="J13" s="58" t="s">
        <v>3</v>
      </c>
    </row>
    <row r="14" spans="1:13" ht="12.75" customHeight="1" thickBot="1" x14ac:dyDescent="0.25">
      <c r="B14" s="51" t="s">
        <v>198</v>
      </c>
      <c r="C14" s="47">
        <v>3.24</v>
      </c>
      <c r="D14" s="48" t="s">
        <v>7</v>
      </c>
      <c r="E14" s="26">
        <f>IF(C14&lt;&gt;'Blad2 '!A10,C14+1,"")</f>
        <v>4.24</v>
      </c>
      <c r="F14" s="48" t="s">
        <v>6</v>
      </c>
      <c r="G14" s="180"/>
      <c r="H14" s="116"/>
      <c r="I14" s="48"/>
      <c r="J14" s="70"/>
    </row>
    <row r="15" spans="1:13" ht="12.75" customHeight="1" thickBot="1" x14ac:dyDescent="0.25">
      <c r="A15" s="130"/>
      <c r="B15" s="48"/>
      <c r="C15" s="48"/>
      <c r="D15" s="51" t="s">
        <v>63</v>
      </c>
      <c r="E15" s="26">
        <f>IF(C14&lt;&gt;'Blad2 '!A10,VLOOKUP(E14,Blad3!A6:G245,3),"")</f>
        <v>-4</v>
      </c>
      <c r="F15" s="48" t="s">
        <v>116</v>
      </c>
      <c r="G15" s="180"/>
      <c r="H15" s="170"/>
      <c r="I15" s="81"/>
      <c r="J15" s="26">
        <f>IF(C14&lt;&gt;'Blad2 '!A10,VLOOKUP(E14,Blad3!A6:G245,7),"")</f>
        <v>570.13</v>
      </c>
    </row>
    <row r="16" spans="1:13" ht="12.75" customHeight="1" thickBot="1" x14ac:dyDescent="0.25">
      <c r="A16" s="130"/>
      <c r="B16" s="48"/>
      <c r="C16" s="48"/>
      <c r="D16" s="51" t="s">
        <v>64</v>
      </c>
      <c r="E16" s="26">
        <f>IF(C14&lt;&gt;'Blad2 '!A10,VLOOKUP(E14,Blad3!A6:G245,2),"")</f>
        <v>-4</v>
      </c>
      <c r="F16" s="48" t="s">
        <v>116</v>
      </c>
      <c r="G16" s="169"/>
      <c r="H16" s="169"/>
      <c r="I16" s="26">
        <f>IF(C14&lt;&gt;'Blad2 '!A10,VLOOKUP(E14,Blad3!A6:G110,6),"")</f>
        <v>190.07</v>
      </c>
      <c r="J16" s="81"/>
    </row>
    <row r="17" spans="1:12" ht="12.75" customHeight="1" thickBot="1" x14ac:dyDescent="0.25">
      <c r="B17" s="51" t="s">
        <v>199</v>
      </c>
      <c r="C17" s="68">
        <v>18</v>
      </c>
      <c r="D17" s="48" t="s">
        <v>7</v>
      </c>
      <c r="E17" s="26">
        <f>IF(C17&gt;0,C17+1,"")</f>
        <v>19</v>
      </c>
      <c r="F17" s="48" t="s">
        <v>6</v>
      </c>
      <c r="G17" s="169"/>
      <c r="H17" s="169"/>
      <c r="I17" s="81"/>
      <c r="J17" s="81"/>
    </row>
    <row r="18" spans="1:12" ht="12.75" customHeight="1" thickBot="1" x14ac:dyDescent="0.25">
      <c r="A18" s="48"/>
      <c r="B18" s="48"/>
      <c r="C18" s="122"/>
      <c r="D18" s="51" t="s">
        <v>15</v>
      </c>
      <c r="E18" s="26">
        <f>IF(C17&gt;0,VLOOKUP(E17,Blad3!A6:G245,3),"")</f>
        <v>50</v>
      </c>
      <c r="F18" s="48" t="s">
        <v>116</v>
      </c>
      <c r="G18" s="181"/>
      <c r="H18" s="170"/>
      <c r="I18" s="81"/>
      <c r="J18" s="26">
        <f>IF(C17&gt;0,VLOOKUP(E17,Blad3!A6:G245,7),"")</f>
        <v>622.17999999999995</v>
      </c>
      <c r="L18" s="3"/>
    </row>
    <row r="19" spans="1:12" ht="12.75" customHeight="1" thickBot="1" x14ac:dyDescent="0.25">
      <c r="A19" s="48"/>
      <c r="B19" s="122"/>
      <c r="C19" s="48"/>
      <c r="D19" s="51" t="s">
        <v>100</v>
      </c>
      <c r="E19" s="26">
        <f>IF(C17&gt;0,VLOOKUP(E17,Blad3!A6:G245,2),"")</f>
        <v>50</v>
      </c>
      <c r="F19" s="48" t="s">
        <v>116</v>
      </c>
      <c r="G19" s="180"/>
      <c r="H19" s="115"/>
      <c r="I19" s="26">
        <f>IF(C17&gt;0,VLOOKUP(E17,Blad3!A6:G245,6),"")</f>
        <v>337.99</v>
      </c>
      <c r="J19" s="81"/>
      <c r="L19" s="83"/>
    </row>
    <row r="20" spans="1:12" ht="12.75" customHeight="1" thickTop="1" thickBot="1" x14ac:dyDescent="0.25">
      <c r="A20" s="200"/>
      <c r="B20" s="203" t="s">
        <v>184</v>
      </c>
      <c r="C20" s="201"/>
      <c r="D20" s="202" t="s">
        <v>183</v>
      </c>
      <c r="E20" s="68">
        <v>76</v>
      </c>
      <c r="F20" s="48" t="s">
        <v>140</v>
      </c>
      <c r="G20" s="59" t="str">
        <f>IF(E20&lt;&gt;'Blad2 '!A10,IF(C17&lt;&gt;'Blad2 '!A10,"",'Blad2 '!A13),"")</f>
        <v/>
      </c>
      <c r="H20" s="48"/>
      <c r="I20" s="81"/>
      <c r="J20" s="26">
        <f>IF(C17&gt;0,IF(E20&gt;0,IF(E20&gt;E18,J18+(VLOOKUP(E17,Blad3!A6:H245,8)*(E20-E18)),J18),""),"")</f>
        <v>684.51314285714284</v>
      </c>
      <c r="L20" s="3"/>
    </row>
    <row r="21" spans="1:12" ht="12.75" customHeight="1" thickTop="1" thickBot="1" x14ac:dyDescent="0.25">
      <c r="A21" s="323" t="s">
        <v>182</v>
      </c>
      <c r="B21" s="324"/>
      <c r="C21" s="61"/>
      <c r="D21" s="194" t="s">
        <v>180</v>
      </c>
      <c r="E21" s="68">
        <v>76</v>
      </c>
      <c r="F21" s="48" t="s">
        <v>116</v>
      </c>
      <c r="G21" s="59" t="str">
        <f>IF(E21&gt;0,IF(C17&lt;&gt;'Blad2 '!A10,IF(E20&gt;0,IF(E21&gt;E20,'Blad2 '!E9,""),'Blad2 '!H7),'Blad2 '!A13),"")</f>
        <v/>
      </c>
      <c r="H21" s="48"/>
      <c r="I21" s="81"/>
      <c r="J21" s="26">
        <f>IF(C17&gt;0,IF(E21&gt;0,IF(E21&gt;E18,J18+(VLOOKUP(E17,Blad3!A6:H245,8)*(E21-E18)),J18),""),"")</f>
        <v>684.51314285714284</v>
      </c>
      <c r="L21" s="83"/>
    </row>
    <row r="22" spans="1:12" ht="12.75" customHeight="1" thickTop="1" thickBot="1" x14ac:dyDescent="0.25">
      <c r="A22" s="322"/>
      <c r="B22" s="325"/>
      <c r="C22" s="132"/>
      <c r="D22" s="195" t="s">
        <v>16</v>
      </c>
      <c r="E22" s="68">
        <v>76</v>
      </c>
      <c r="F22" s="48" t="s">
        <v>116</v>
      </c>
      <c r="G22" s="59" t="str">
        <f>IF(E22&lt;&gt;'Blad2 '!A10,IF(C17&lt;&gt;'Blad2 '!A10,IF(E21&lt;&gt;'Blad2 '!A10,IF(E22&lt;=E21,IF(E22&lt;E19,'Blad2 '!A8,""),'Blad2 '!E9),'Blad2 '!E11),'Blad2 '!A13),"")</f>
        <v/>
      </c>
      <c r="H22" s="48"/>
      <c r="I22" s="139" t="str">
        <f>IF(C17&gt;0,IF(E22&gt;0,IF(E22&lt;E19,IF(E22&gt;E18,J18+(VLOOKUP(E17,Blad3!A6:I245,9)*(E22-E18)),IF(E22&gt;E19,VLOOKUP(E22,Blad3!C6:G245,5),VLOOKUP(E22,Blad3!B6:F245,5))),""),""),"")</f>
        <v/>
      </c>
      <c r="J22" s="26">
        <f>IF(C17&gt;0,IF(E22&gt;0,IF(E22&gt;=E18,J18+(VLOOKUP(E17,Blad3!A6:H245,8)*(E22-E18)),VLOOKUP(E22,Blad3!B6:F245,5)),""),"")</f>
        <v>684.51314285714284</v>
      </c>
    </row>
    <row r="23" spans="1:12" ht="12.75" customHeight="1" thickBot="1" x14ac:dyDescent="0.25">
      <c r="A23" s="326"/>
      <c r="B23" s="327"/>
      <c r="C23" s="184"/>
      <c r="D23" s="196" t="s">
        <v>181</v>
      </c>
      <c r="E23" s="210">
        <f>IF(C17&gt;0,IF(E20&gt;0,IF(E21&gt;0,IF(E22&gt;0,J21-J22,""),""),""),"")</f>
        <v>0</v>
      </c>
      <c r="F23" s="48" t="s">
        <v>8</v>
      </c>
      <c r="G23" s="50"/>
      <c r="H23" s="48"/>
      <c r="I23" s="81"/>
      <c r="J23" s="81"/>
    </row>
    <row r="24" spans="1:12" ht="12.75" customHeight="1" thickTop="1" thickBot="1" x14ac:dyDescent="0.25">
      <c r="A24" s="314" t="s">
        <v>147</v>
      </c>
      <c r="B24" s="315"/>
      <c r="C24" s="61"/>
      <c r="D24" s="194" t="s">
        <v>185</v>
      </c>
      <c r="E24" s="68">
        <v>76</v>
      </c>
      <c r="F24" s="48" t="s">
        <v>116</v>
      </c>
      <c r="G24" s="59" t="str">
        <f>IF(E24&gt;0,      IF(E20&gt;0,    IF(E24&lt;=E20, IF(E24&gt;=E19,       IF(E21&lt;&gt;'Blad2 '!A10, IF(E22&lt;&gt;'Blad2 '!A10,       IF(E24&lt;=E22,IF(E24&lt;E19,'Blad2 '!A8,""), 'Blad2 '!E9),'Blad2 '!H11),""),     'Blad2 '!A8),'Blad2 '!E9),     'Blad2 '!H7),     "")</f>
        <v/>
      </c>
      <c r="H24" s="48"/>
      <c r="I24" s="140" t="str">
        <f>IF(C17&gt;0,IF(E24&gt;0,IF(E24&lt;E19,IF(E24&gt;E18,J18+(VLOOKUP(E17,Blad3!A6:I245,9)*(E24-E18)),IF(E24&gt;E19,VLOOKUP(E22,Blad3!C6:G245,5),VLOOKUP(E24,Blad3!B6:F245,5))),""),""),"")</f>
        <v/>
      </c>
      <c r="J24" s="26">
        <f>IF(C17&gt;0,IF(E24&gt;0,IF(E24&gt;=E18,J18+(VLOOKUP(E17,Blad3!A6:H245,8)*(E24-E18)),VLOOKUP(E24,Blad3!B6:G245,5)),""),"")</f>
        <v>684.51314285714284</v>
      </c>
      <c r="L24" s="79"/>
    </row>
    <row r="25" spans="1:12" ht="12.75" customHeight="1" thickBot="1" x14ac:dyDescent="0.25">
      <c r="A25" s="316"/>
      <c r="B25" s="317"/>
      <c r="C25" s="53"/>
      <c r="D25" s="195" t="s">
        <v>179</v>
      </c>
      <c r="E25" s="68">
        <v>44</v>
      </c>
      <c r="F25" s="48" t="s">
        <v>137</v>
      </c>
      <c r="G25" s="59" t="str">
        <f>IF(E25&gt;0,IF(E24&gt;0,IF(E25&gt;E19,IF(E24&lt;&gt;'Blad2 '!A10,IF(E25&gt;E24,'Blad2 '!H14,'Blad2 '!E15),""),""),'Blad2 '!E11),"")</f>
        <v/>
      </c>
      <c r="H25" s="48"/>
      <c r="I25" s="117">
        <f>IF(C$17&gt;0,IF(E25&gt;0,IF(E25&gt;E$18,J$18+(VLOOKUP(E$17,Blad3!A$6:I$245,8)*(E25-E$18)),IF(E25&gt;E$19,VLOOKUP(E25,Blad3!C$6:G$245,5),VLOOKUP(E25,Blad3!B$6:F$245,5))),""),"")</f>
        <v>319.77</v>
      </c>
      <c r="J25" s="212" t="str">
        <f>IF(C14&lt;&gt;'Blad2 '!A10,IF(C17&lt;&gt;'Blad2 '!A10,IF(E24&lt;&gt;'Blad2 '!A10,IF(E25&gt;E19,I25,""),""),""),"")</f>
        <v/>
      </c>
    </row>
    <row r="26" spans="1:12" ht="12.75" customHeight="1" thickBot="1" x14ac:dyDescent="0.25">
      <c r="A26" s="316"/>
      <c r="B26" s="317"/>
      <c r="C26" s="53"/>
      <c r="D26" s="195" t="s">
        <v>186</v>
      </c>
      <c r="E26" s="60">
        <f>IF(C17&gt;0,IF(E24&gt;0,IF(E25&lt;&gt;'Blad2 '!A10,IF(E25&lt;=E19,E19-E25,""),""),""),"")</f>
        <v>6</v>
      </c>
      <c r="F26" s="50" t="s">
        <v>9</v>
      </c>
      <c r="G26" s="48"/>
      <c r="H26" s="48"/>
      <c r="I26" s="81"/>
      <c r="J26" s="81"/>
      <c r="L26" s="79"/>
    </row>
    <row r="27" spans="1:12" ht="12.75" customHeight="1" thickBot="1" x14ac:dyDescent="0.25">
      <c r="A27" s="318"/>
      <c r="B27" s="319"/>
      <c r="C27" s="184"/>
      <c r="D27" s="196" t="s">
        <v>181</v>
      </c>
      <c r="E27" s="210">
        <f>IF(C17&gt;0,IF(E24&gt;0,IF(E25&gt;0,J24-I25,""),""),"")</f>
        <v>364.74314285714286</v>
      </c>
      <c r="F27" s="48" t="s">
        <v>8</v>
      </c>
      <c r="G27" s="49"/>
      <c r="H27" s="48"/>
      <c r="I27" s="81"/>
      <c r="J27" s="81"/>
    </row>
    <row r="28" spans="1:12" ht="12.75" customHeight="1" thickTop="1" thickBot="1" x14ac:dyDescent="0.25">
      <c r="A28" s="314" t="s">
        <v>148</v>
      </c>
      <c r="B28" s="315"/>
      <c r="C28" s="61"/>
      <c r="D28" s="194" t="s">
        <v>185</v>
      </c>
      <c r="E28" s="162">
        <v>44</v>
      </c>
      <c r="F28" s="53" t="s">
        <v>116</v>
      </c>
      <c r="G28" s="119" t="str">
        <f>IF(E28&lt;&gt;'Blad2 '!A$10,IF(E$25&lt;&gt;'Blad2 '!A$10,IF(E28&lt;=E19,IF(E28&lt;=E$25,"",'Blad2 '!E$9),'Blad2 '!E9),'Blad2 '!H15),"")</f>
        <v/>
      </c>
      <c r="H28" s="141"/>
      <c r="I28" s="26">
        <f>IF(C$17&gt;0,IF(E28&gt;0,IF(E28&gt;E$18,J$18+(VLOOKUP(E$17,Blad3!A$6:I$245,8)*(E28-E$18)),IF(E28&gt;E$19,VLOOKUP(E28,Blad3!C$6:G$245,5),VLOOKUP(E28,Blad3!B$6:F$245,5))),""),"")</f>
        <v>319.77</v>
      </c>
      <c r="J28" s="81"/>
    </row>
    <row r="29" spans="1:12" ht="12.75" customHeight="1" thickBot="1" x14ac:dyDescent="0.25">
      <c r="A29" s="316"/>
      <c r="B29" s="317"/>
      <c r="C29" s="53"/>
      <c r="D29" s="195" t="s">
        <v>179</v>
      </c>
      <c r="E29" s="138">
        <v>44</v>
      </c>
      <c r="F29" s="53" t="s">
        <v>116</v>
      </c>
      <c r="G29" s="119" t="str">
        <f>IF(E29&lt;&gt;'Blad2 '!A$10,IF(E$25&lt;&gt;'Blad2 '!A$10,IF(E28&lt;&gt;'Blad2 '!A10,IF(E29&lt;=E$28,"",'Blad2 '!E$9),'Blad2 '!E11),""),"")</f>
        <v/>
      </c>
      <c r="H29" s="53"/>
      <c r="I29" s="117">
        <f>IF(C$17&gt;0,IF(E29&gt;0,IF(E29&gt;E$18,J$18+(VLOOKUP(E$17,Blad3!A$6:I$245,8)*(E29-E$18)),IF(E29&gt;E$19,VLOOKUP(E29,Blad3!C$6:G$245,5),VLOOKUP(E29,Blad3!B$6:F$245,5))),""),"")</f>
        <v>319.77</v>
      </c>
      <c r="J29" s="81"/>
    </row>
    <row r="30" spans="1:12" ht="12.75" customHeight="1" thickBot="1" x14ac:dyDescent="0.25">
      <c r="A30" s="316"/>
      <c r="B30" s="317"/>
      <c r="C30" s="53"/>
      <c r="D30" s="197" t="s">
        <v>186</v>
      </c>
      <c r="E30" s="120">
        <f>IF(C14&lt;&gt;'Blad2 '!A10,IF(C17&lt;&gt;'Blad2 '!A10,IF(E28&lt;&gt;'Blad2 '!A10,IF(E29&lt;&gt;'Blad2 '!A10,IF(E29&lt;=E28,E28-E29,""),""),""),""),"")</f>
        <v>0</v>
      </c>
      <c r="F30" s="62" t="s">
        <v>9</v>
      </c>
      <c r="G30" s="62"/>
      <c r="H30" s="53"/>
      <c r="I30" s="81"/>
      <c r="J30" s="81"/>
    </row>
    <row r="31" spans="1:12" ht="12.75" customHeight="1" thickBot="1" x14ac:dyDescent="0.25">
      <c r="A31" s="318"/>
      <c r="B31" s="319"/>
      <c r="C31" s="184"/>
      <c r="D31" s="198" t="s">
        <v>181</v>
      </c>
      <c r="E31" s="57">
        <f>IF(C14&lt;&gt;'Blad2 '!A10,IF(C17&lt;&gt;'Blad2 '!A10,IF(E28&lt;&gt;'Blad2 '!A10,IF(E29&lt;&gt;'Blad2 '!A10,IF(E29&lt;=E28,I28-I29,""),""),""),""),"")</f>
        <v>0</v>
      </c>
      <c r="F31" s="53" t="s">
        <v>8</v>
      </c>
      <c r="G31" s="62"/>
      <c r="H31" s="53"/>
      <c r="I31" s="81"/>
      <c r="J31" s="81"/>
    </row>
    <row r="32" spans="1:12" ht="12.75" customHeight="1" thickTop="1" thickBot="1" x14ac:dyDescent="0.25">
      <c r="A32" s="328" t="s">
        <v>195</v>
      </c>
      <c r="B32" s="329"/>
      <c r="C32" s="329"/>
      <c r="D32" s="194" t="s">
        <v>194</v>
      </c>
      <c r="E32" s="69">
        <v>44</v>
      </c>
      <c r="F32" s="48" t="s">
        <v>116</v>
      </c>
      <c r="G32" s="59" t="str">
        <f>IF(E32&lt;&gt;'Blad2 '!A10,IF(E25&lt;&gt;'Blad2 '!A10,IF(E32&gt;E19,'Blad2 '!E9,IF(E32&gt;E25,'Blad2 '!$E$9,IF(E28&lt;&gt;'Blad2 '!A10,IF(E32&lt;=E28,IF(E29&lt;&gt;'Blad2 '!A10,IF(E32&lt;=E29,"",'Blad2 '!E9),'Blad2 '!H16),'Blad2 '!E9),""))),'Blad2 '!H15),"")</f>
        <v/>
      </c>
      <c r="H32" s="48"/>
      <c r="I32" s="26">
        <f>IF(C17&gt;0,IF(E32&gt;0,IF(E32&gt;E19,VLOOKUP(E32,Blad3!C6:G245,5),VLOOKUP(E32,Blad3!B6:F245,5)),""),"")</f>
        <v>319.77</v>
      </c>
      <c r="J32" s="81"/>
    </row>
    <row r="33" spans="1:10" ht="12.75" customHeight="1" thickBot="1" x14ac:dyDescent="0.25">
      <c r="A33" s="320" t="s">
        <v>187</v>
      </c>
      <c r="B33" s="321"/>
      <c r="C33" s="53"/>
      <c r="D33" s="195" t="s">
        <v>10</v>
      </c>
      <c r="E33" s="68">
        <v>41.6</v>
      </c>
      <c r="F33" s="48" t="s">
        <v>116</v>
      </c>
      <c r="G33" s="59" t="str">
        <f>IF(E33&lt;&gt;'Blad2 '!A10,IF(E32&lt;&gt;'Blad2 '!A10,IF(E25&lt;&gt;'Blad2 '!A10,IF(E33&gt;E25,'Blad2 '!$E$9,IF(E33&gt;E32,'Blad2 '!E9,"")),'Blad2 '!H15),'Blad2 '!E11),"")</f>
        <v/>
      </c>
      <c r="H33" s="48"/>
      <c r="I33" s="26">
        <f>IF(C17&gt;0,IF(E33&gt;0,IF(E33&gt;E19,VLOOKUP(E33,Blad3!C6:G245,5),VLOOKUP(E33,Blad3!B6:F245,5)),""),"")</f>
        <v>310.85000000000002</v>
      </c>
      <c r="J33" s="81"/>
    </row>
    <row r="34" spans="1:10" ht="12.75" customHeight="1" thickBot="1" x14ac:dyDescent="0.25">
      <c r="A34" s="322"/>
      <c r="B34" s="321"/>
      <c r="C34" s="53"/>
      <c r="D34" s="195" t="s">
        <v>186</v>
      </c>
      <c r="E34" s="63">
        <f>IF(C17&gt;0,IF(E32&lt;&gt;'Blad2 '!A10,IF(E33&lt;&gt;'Blad2 '!A10,IF(E33&lt;=E32,E32-E33,""),""),""),"")</f>
        <v>2.3999999999999986</v>
      </c>
      <c r="F34" s="50" t="s">
        <v>9</v>
      </c>
      <c r="G34" s="48"/>
      <c r="H34" s="48"/>
      <c r="I34" s="82"/>
      <c r="J34" s="81"/>
    </row>
    <row r="35" spans="1:10" ht="12.75" customHeight="1" thickBot="1" x14ac:dyDescent="0.25">
      <c r="A35" s="188"/>
      <c r="B35" s="184"/>
      <c r="C35" s="184"/>
      <c r="D35" s="196" t="s">
        <v>17</v>
      </c>
      <c r="E35" s="57">
        <f>IF(C17&gt;0,IF(E32&lt;&gt;'Blad2 '!A10,IF(E33&lt;&gt;'Blad2 '!A10,IF(E33&lt;=E32,I32-I33,""),""),""),"")</f>
        <v>8.9199999999999591</v>
      </c>
      <c r="F35" s="48" t="s">
        <v>172</v>
      </c>
      <c r="G35" s="48"/>
      <c r="H35" s="48"/>
      <c r="I35" s="82"/>
      <c r="J35" s="81"/>
    </row>
    <row r="36" spans="1:10" ht="12.75" customHeight="1" thickTop="1" thickBot="1" x14ac:dyDescent="0.25">
      <c r="A36" s="312" t="s">
        <v>189</v>
      </c>
      <c r="B36" s="313"/>
      <c r="C36" s="61"/>
      <c r="D36" s="194" t="s">
        <v>188</v>
      </c>
      <c r="E36" s="68">
        <v>41.6</v>
      </c>
      <c r="F36" s="48" t="s">
        <v>138</v>
      </c>
      <c r="G36" s="59" t="str">
        <f>IF(E36&lt;&gt;'Blad2 '!A10,IF(E36&gt;E25,'Blad2 '!E9,IF(E32&lt;&gt;'Blad2 '!A10,IF(E36&gt;E32,'Blad2 '!E9,IF(E33&lt;&gt;'Blad2 '!A10,IF(E36&gt;E33,'Blad2 '!E9,""),"")),"")),"")</f>
        <v/>
      </c>
      <c r="H36" s="48"/>
      <c r="I36" s="26">
        <f>IF(C17&gt;0,IF(E36&gt;0,VLOOKUP(E36,Blad3!B6:F245,5),""),"")</f>
        <v>310.85000000000002</v>
      </c>
      <c r="J36" s="81"/>
    </row>
    <row r="37" spans="1:10" ht="12.75" customHeight="1" thickBot="1" x14ac:dyDescent="0.25">
      <c r="A37" s="188"/>
      <c r="B37" s="184"/>
      <c r="C37" s="184"/>
      <c r="D37" s="196" t="s">
        <v>22</v>
      </c>
      <c r="E37" s="46">
        <f>IF(C17&gt;0,IF(E19&lt;&gt;'Blad2 '!A10,IF(E36&lt;&gt;'Blad2 '!A10,IF(E36&lt;=E19,E19-E36,""),""),""),"")</f>
        <v>8.3999999999999986</v>
      </c>
      <c r="F37" s="50" t="s">
        <v>9</v>
      </c>
      <c r="G37" s="48"/>
      <c r="H37" s="48"/>
      <c r="I37" s="82"/>
      <c r="J37" s="81"/>
    </row>
    <row r="38" spans="1:10" ht="12.75" customHeight="1" thickTop="1" thickBot="1" x14ac:dyDescent="0.25">
      <c r="A38" s="314" t="s">
        <v>154</v>
      </c>
      <c r="B38" s="315"/>
      <c r="C38" s="61"/>
      <c r="D38" s="194" t="s">
        <v>179</v>
      </c>
      <c r="E38" s="47">
        <v>3.7</v>
      </c>
      <c r="F38" s="48" t="s">
        <v>116</v>
      </c>
      <c r="G38" s="59" t="str">
        <f>IF(E38&lt;&gt;'Blad2 '!A10,IF(E38&lt;E15,'Blad2 '!H9,""),"")</f>
        <v/>
      </c>
      <c r="H38" s="48"/>
      <c r="I38" s="81"/>
      <c r="J38" s="26">
        <f>IF($C$17&gt;0,IF($E$38&lt;&gt;'Blad2 '!$A$10,(VLOOKUP($E$14,Blad3!$A$6:$G$245,7)+(VLOOKUP($E$14,Blad3!$A$6:$H$245,8)*($E$38-$E$15))),""),"")</f>
        <v>585.07483064516123</v>
      </c>
    </row>
    <row r="39" spans="1:10" ht="12.75" customHeight="1" thickBot="1" x14ac:dyDescent="0.25">
      <c r="A39" s="316"/>
      <c r="B39" s="317"/>
      <c r="C39" s="53"/>
      <c r="D39" s="195" t="s">
        <v>108</v>
      </c>
      <c r="E39" s="63">
        <f>IF(C17&gt;0,IF(E38&lt;&gt;'Blad2 '!A10,IF(E15&lt;&gt;'Blad2 '!A10,IF(E38&gt;=E15,E38-E15,""),""),""),"")</f>
        <v>7.7</v>
      </c>
      <c r="F39" s="50" t="s">
        <v>9</v>
      </c>
      <c r="G39" s="48"/>
      <c r="H39" s="48"/>
      <c r="I39" s="81"/>
      <c r="J39" s="82"/>
    </row>
    <row r="40" spans="1:10" ht="12.75" customHeight="1" thickBot="1" x14ac:dyDescent="0.25">
      <c r="A40" s="318"/>
      <c r="B40" s="319"/>
      <c r="C40" s="184"/>
      <c r="D40" s="196" t="s">
        <v>190</v>
      </c>
      <c r="E40" s="211">
        <f>IF(C17&gt;0,IF(E38&lt;&gt;'Blad2 '!A10,IF(E36&lt;&gt;'Blad2 '!A10,J38-I36,""),""),"")</f>
        <v>274.22483064516121</v>
      </c>
      <c r="F40" s="48" t="s">
        <v>8</v>
      </c>
      <c r="G40" s="49"/>
      <c r="H40" s="48"/>
      <c r="I40" s="81"/>
      <c r="J40" s="81"/>
    </row>
    <row r="41" spans="1:10" ht="12.75" customHeight="1" thickTop="1" thickBot="1" x14ac:dyDescent="0.25">
      <c r="A41" s="314" t="s">
        <v>187</v>
      </c>
      <c r="B41" s="315"/>
      <c r="C41" s="199" t="s">
        <v>193</v>
      </c>
      <c r="D41" s="194" t="s">
        <v>192</v>
      </c>
      <c r="E41" s="68">
        <v>3.7</v>
      </c>
      <c r="F41" s="48" t="s">
        <v>116</v>
      </c>
      <c r="G41" s="59" t="str">
        <f>IF(E41&lt;&gt;'Blad2 '!A10,IF(E41&lt;E15,'Blad2 '!$H$9,IF(E41&lt;E38,'Blad2 '!$H$9,"")),"")</f>
        <v/>
      </c>
      <c r="H41" s="48"/>
      <c r="I41" s="81"/>
      <c r="J41" s="26">
        <f>IF(C17&gt;0,IF(E41&lt;&gt;'Blad2 '!A10,(VLOOKUP(E14,Blad3!A6:G245,7)+(VLOOKUP(E14,Blad3!A6:H245,8)*(E41-E15))),""),"")</f>
        <v>585.07483064516123</v>
      </c>
    </row>
    <row r="42" spans="1:10" ht="12.75" customHeight="1" thickBot="1" x14ac:dyDescent="0.25">
      <c r="A42" s="316"/>
      <c r="B42" s="317"/>
      <c r="C42" s="53"/>
      <c r="D42" s="195" t="s">
        <v>10</v>
      </c>
      <c r="E42" s="68">
        <v>6.9</v>
      </c>
      <c r="F42" s="48" t="s">
        <v>116</v>
      </c>
      <c r="G42" s="59" t="str">
        <f>IF(E42&lt;&gt;'Blad2 '!A10,IF(E42&lt;E38,'Blad2 '!$H$9,IF(E42&lt;E41,'Blad2 '!$H$9,IF(E41='Blad2 '!A10,'Blad2 '!E11,""))),"")</f>
        <v/>
      </c>
      <c r="H42" s="48"/>
      <c r="I42" s="81"/>
      <c r="J42" s="26">
        <f>IF(C17&gt;0,IF(E42&lt;&gt;'Blad2 '!A10,(VLOOKUP(E14,Blad3!A6:G245,7)+(VLOOKUP(E14,Blad3!A6:H245,8)*(E42-E15))),""),"")</f>
        <v>591.28566935483866</v>
      </c>
    </row>
    <row r="43" spans="1:10" ht="12.75" customHeight="1" thickBot="1" x14ac:dyDescent="0.25">
      <c r="A43" s="316"/>
      <c r="B43" s="317"/>
      <c r="C43" s="53"/>
      <c r="D43" s="195" t="s">
        <v>191</v>
      </c>
      <c r="E43" s="58">
        <f>IF(C17&gt;0,IF(E42&lt;&gt;'Blad2 '!A10,IF(E41&lt;&gt;'Blad2 '!A10,IF(E42&gt;=E41,E42-E41,""),""),""),"")</f>
        <v>3.2</v>
      </c>
      <c r="F43" s="50" t="s">
        <v>9</v>
      </c>
      <c r="G43" s="48"/>
      <c r="H43" s="48"/>
      <c r="I43" s="81"/>
      <c r="J43" s="82"/>
    </row>
    <row r="44" spans="1:10" ht="12.75" customHeight="1" thickBot="1" x14ac:dyDescent="0.25">
      <c r="A44" s="318"/>
      <c r="B44" s="319"/>
      <c r="C44" s="184"/>
      <c r="D44" s="196" t="s">
        <v>190</v>
      </c>
      <c r="E44" s="57">
        <f>IF(C17&gt;0,IF(E42&lt;&gt;'Blad2 '!A10,IF(E41&lt;&gt;'Blad2 '!A10,IF(E42&gt;=E41,J42-J41,""),""),""),"")</f>
        <v>6.2108387096774322</v>
      </c>
      <c r="F44" s="48" t="s">
        <v>173</v>
      </c>
      <c r="G44" s="48"/>
      <c r="H44" s="48"/>
      <c r="I44" s="81"/>
      <c r="J44" s="82"/>
    </row>
    <row r="45" spans="1:10" ht="12.75" customHeight="1" thickTop="1" thickBot="1" x14ac:dyDescent="0.25">
      <c r="A45" s="312" t="s">
        <v>184</v>
      </c>
      <c r="B45" s="313"/>
      <c r="C45" s="61"/>
      <c r="D45" s="194" t="s">
        <v>196</v>
      </c>
      <c r="E45" s="47">
        <v>6.9</v>
      </c>
      <c r="F45" s="48" t="s">
        <v>139</v>
      </c>
      <c r="G45" s="59" t="str">
        <f>IF(E45&lt;&gt;'Blad2 '!A10,IF(E45&lt;E15,'Blad2 '!$H$9,IF(E45&lt;E38,'Blad2 '!H9,IF(E42&lt;&gt;'Blad2 '!A10,IF(E45&lt;E42,'Blad2 '!$H$9,""),IF(E41&lt;&gt;'Blad2 '!A10,IF(E45&lt;E41,'Blad2 '!H9,""),"")))),"")</f>
        <v/>
      </c>
      <c r="H45" s="48"/>
      <c r="I45" s="81"/>
      <c r="J45" s="26">
        <f>IF(C17&gt;0,IF(E45&lt;&gt;'Blad2 '!A10,(VLOOKUP(E14,Blad3!A6:G245,7)+VLOOKUP(E14,Blad3!A6:H245,8)*(E45-E15)),""),"")</f>
        <v>591.28566935483866</v>
      </c>
    </row>
    <row r="46" spans="1:10" ht="12.75" customHeight="1" thickBot="1" x14ac:dyDescent="0.25">
      <c r="A46" s="188"/>
      <c r="B46" s="184"/>
      <c r="C46" s="184"/>
      <c r="D46" s="196" t="s">
        <v>18</v>
      </c>
      <c r="E46" s="60">
        <f>IF(E45&lt;&gt;'Blad2 '!A10,IF(C17&gt;0,IF(E45&gt;=E38,E45-E15,""),""),"")</f>
        <v>10.9</v>
      </c>
      <c r="F46" s="50" t="s">
        <v>9</v>
      </c>
      <c r="G46" s="48"/>
      <c r="H46" s="48"/>
      <c r="I46" s="81"/>
      <c r="J46" s="48"/>
    </row>
    <row r="47" spans="1:10" ht="12.75" customHeight="1" thickTop="1" thickBot="1" x14ac:dyDescent="0.25">
      <c r="A47" s="122"/>
      <c r="B47" s="48"/>
      <c r="C47" s="48"/>
      <c r="D47" s="292" t="s">
        <v>213</v>
      </c>
      <c r="E47" s="155">
        <f>IF(C10&gt;0,IF(E45&lt;&gt;'Blad2 '!A10,E13/(J20-J45)*'Blad2 '!F42,""),"")</f>
        <v>1.3898810062391711E-2</v>
      </c>
      <c r="F47" s="48" t="s">
        <v>214</v>
      </c>
      <c r="G47" s="48"/>
      <c r="H47" s="48"/>
      <c r="I47" s="48"/>
      <c r="J47" s="48"/>
    </row>
    <row r="48" spans="1:10" ht="12.75" customHeight="1" thickBot="1" x14ac:dyDescent="0.25">
      <c r="A48" s="50" t="s">
        <v>175</v>
      </c>
      <c r="B48" s="48"/>
      <c r="C48" s="179"/>
      <c r="D48" s="51"/>
      <c r="E48" s="193">
        <v>0</v>
      </c>
      <c r="F48" s="48" t="s">
        <v>11</v>
      </c>
      <c r="G48" s="48"/>
      <c r="H48" s="48"/>
      <c r="I48" s="48"/>
      <c r="J48" s="48"/>
    </row>
    <row r="49" spans="1:11" ht="12.75" customHeight="1" thickTop="1" thickBot="1" x14ac:dyDescent="0.25">
      <c r="A49" s="132"/>
      <c r="B49" s="184"/>
      <c r="C49" s="184"/>
      <c r="D49" s="185"/>
      <c r="E49" s="183"/>
      <c r="F49" s="48"/>
      <c r="G49" s="22" t="s">
        <v>165</v>
      </c>
      <c r="H49" s="24"/>
      <c r="I49" s="166">
        <f>E46</f>
        <v>10.9</v>
      </c>
      <c r="K49" s="87"/>
    </row>
    <row r="50" spans="1:11" ht="12.75" customHeight="1" thickTop="1" thickBot="1" x14ac:dyDescent="0.25">
      <c r="A50" s="192"/>
      <c r="B50" s="61"/>
      <c r="C50" s="61"/>
      <c r="D50" s="186" t="s">
        <v>19</v>
      </c>
      <c r="E50" s="182">
        <f>IF(E13&lt;&gt;'Blad2 '!A10,(E13)+E48,"")</f>
        <v>1.9592958735219135</v>
      </c>
      <c r="F50" s="48" t="s">
        <v>11</v>
      </c>
      <c r="G50" s="22" t="s">
        <v>166</v>
      </c>
      <c r="H50" s="24"/>
      <c r="I50" s="166">
        <f>E37</f>
        <v>8.3999999999999986</v>
      </c>
    </row>
    <row r="51" spans="1:11" ht="12.75" customHeight="1" thickTop="1" thickBot="1" x14ac:dyDescent="0.25">
      <c r="A51" s="131"/>
      <c r="B51" s="53"/>
      <c r="C51" s="53"/>
      <c r="D51" s="187" t="s">
        <v>20</v>
      </c>
      <c r="E51" s="88">
        <f>IF(C17&gt;0,IF(E23&lt;&gt;'Blad2 '!A10,IF(E45&lt;&gt;'Blad2 '!A10,IF(E47&lt;&gt;'Blad2 '!A10,E23*E47,""),""),""),"")</f>
        <v>0</v>
      </c>
      <c r="F51" s="48" t="s">
        <v>11</v>
      </c>
      <c r="G51" s="66" t="s">
        <v>13</v>
      </c>
      <c r="H51" s="168">
        <f>IF(C17&gt;0,IF(E20&lt;&gt;'Blad2 '!A10,IF(E36&lt;&gt;'Blad2 '!A10,IF(E45&lt;&gt;'Blad2 '!A10,(J20-I36)/(J20-J45)*'Blad2 '!F42,""),""),""),"")</f>
        <v>2.6506834011507876</v>
      </c>
      <c r="I51" s="133" t="s">
        <v>105</v>
      </c>
      <c r="J51" s="167">
        <f>IF(E54&lt;&gt;'Blad2 '!A10,E54/E50,"")</f>
        <v>2.5874069009386576</v>
      </c>
    </row>
    <row r="52" spans="1:11" ht="12.75" customHeight="1" thickTop="1" thickBot="1" x14ac:dyDescent="0.25">
      <c r="A52" s="131"/>
      <c r="B52" s="53"/>
      <c r="C52" s="53"/>
      <c r="D52" s="187" t="s">
        <v>177</v>
      </c>
      <c r="E52" s="64">
        <f>IF(C17&gt;0,IF(E27&gt;0,IF(E45&lt;&gt;'Blad2 '!A10,IF(E47&gt;0,IF(E47&lt;&gt;'Blad2 '!A10,E27*E47,""),""),""),""),"")</f>
        <v>5.0694956641312343</v>
      </c>
      <c r="F52" s="1" t="s">
        <v>11</v>
      </c>
      <c r="G52" s="66" t="s">
        <v>12</v>
      </c>
      <c r="H52" s="168">
        <f>IF(C17&gt;0,IF(E45&lt;&gt;'Blad2 '!A10,IF(E36&lt;&gt;'Blad2 '!A10,IF(E20&lt;&gt;'Blad2 '!A10,(J45-I36)/(J20-J45)*'Blad2 '!F42,""),""),""),"")</f>
        <v>1.9893483958991212</v>
      </c>
      <c r="I52" s="84"/>
      <c r="J52" s="48"/>
    </row>
    <row r="53" spans="1:11" ht="12.75" customHeight="1" thickTop="1" thickBot="1" x14ac:dyDescent="0.25">
      <c r="A53" s="131"/>
      <c r="B53" s="132"/>
      <c r="C53" s="132"/>
      <c r="D53" s="187" t="s">
        <v>178</v>
      </c>
      <c r="E53" s="99">
        <f>IF(E47&lt;&gt;'Blad2 '!A10,IF(E28&lt;&gt;'Blad2 '!A10,IF(E29&lt;&gt;'Blad2 '!A10,E31*E47,""),""),"")</f>
        <v>0</v>
      </c>
      <c r="F53" s="48" t="s">
        <v>11</v>
      </c>
      <c r="G53" s="66" t="s">
        <v>127</v>
      </c>
      <c r="H53" s="61"/>
      <c r="I53" s="109">
        <f>IF(E45&lt;&gt;'Blad2 '!A10,IF(C14&lt;&gt;'Blad2 '!A10,IF(C17&lt;&gt;'Blad2 '!A10,'Blad2 '!G38,""),""),"")</f>
        <v>62.83052241875771</v>
      </c>
      <c r="J53" s="48"/>
    </row>
    <row r="54" spans="1:11" ht="12.75" customHeight="1" thickTop="1" thickBot="1" x14ac:dyDescent="0.25">
      <c r="A54" s="131"/>
      <c r="B54" s="132"/>
      <c r="C54" s="132"/>
      <c r="D54" s="189" t="s">
        <v>21</v>
      </c>
      <c r="E54" s="64">
        <f>IF(C17&gt;0,IF(E20&gt;0,IF(E25&lt;&gt;'Blad2 '!A10,IF(E45&lt;&gt;'Blad2 '!A10,IF(E47&lt;&gt;'Blad2 '!A10,'Blad2 '!A27,""),""),""),""),"")</f>
        <v>5.0694956641312343</v>
      </c>
      <c r="F54" s="48" t="s">
        <v>11</v>
      </c>
      <c r="G54" s="134" t="s">
        <v>128</v>
      </c>
      <c r="H54" s="135"/>
      <c r="I54" s="118">
        <f>IF(E47&lt;&gt;'Blad2 '!A10,IF(C14&lt;&gt;'Blad2 '!A10,IF(C17&lt;&gt;'Blad2 '!A10,'Blad2 '!F42,""),""),"")</f>
        <v>0.66133500525166589</v>
      </c>
      <c r="J54" s="48"/>
    </row>
    <row r="55" spans="1:11" ht="12.75" customHeight="1" thickTop="1" thickBot="1" x14ac:dyDescent="0.25">
      <c r="A55" s="188"/>
      <c r="B55" s="136"/>
      <c r="C55" s="136"/>
      <c r="D55" s="190" t="s">
        <v>59</v>
      </c>
      <c r="E55" s="137">
        <f>IF(E47&lt;&gt;'Blad2 '!A10,E40*E47,"")</f>
        <v>3.8113988355286295</v>
      </c>
      <c r="F55" s="48" t="s">
        <v>11</v>
      </c>
      <c r="G55" s="160" t="s">
        <v>167</v>
      </c>
      <c r="H55" s="161"/>
      <c r="I55" s="171"/>
      <c r="J55" s="131"/>
    </row>
    <row r="56" spans="1:11" ht="12.75" customHeight="1" thickTop="1" thickBot="1" x14ac:dyDescent="0.25">
      <c r="A56" s="132"/>
      <c r="B56" s="132"/>
      <c r="C56" s="132"/>
      <c r="D56" s="52"/>
      <c r="E56" s="142"/>
      <c r="F56" s="48"/>
      <c r="G56" s="53"/>
      <c r="H56" s="132"/>
      <c r="I56" s="132"/>
      <c r="J56" s="132"/>
    </row>
    <row r="57" spans="1:11" ht="12.75" customHeight="1" thickTop="1" x14ac:dyDescent="0.2">
      <c r="A57" s="132"/>
      <c r="B57" s="132"/>
      <c r="C57" s="132"/>
      <c r="D57" s="145" t="s">
        <v>149</v>
      </c>
      <c r="E57" s="146" t="s">
        <v>147</v>
      </c>
      <c r="F57" s="147" t="s">
        <v>148</v>
      </c>
      <c r="G57" s="29"/>
      <c r="H57" s="4"/>
      <c r="I57" s="143" t="s">
        <v>154</v>
      </c>
      <c r="J57" s="132"/>
    </row>
    <row r="58" spans="1:11" ht="12.75" customHeight="1" x14ac:dyDescent="0.2">
      <c r="B58" s="132"/>
      <c r="C58" s="159" t="s">
        <v>142</v>
      </c>
      <c r="D58" s="215"/>
      <c r="E58" s="290"/>
      <c r="F58" s="216"/>
      <c r="G58" s="55"/>
      <c r="H58" s="156" t="s">
        <v>153</v>
      </c>
      <c r="I58" s="291"/>
      <c r="J58" s="132"/>
    </row>
    <row r="59" spans="1:11" ht="12.75" customHeight="1" thickBot="1" x14ac:dyDescent="0.25">
      <c r="B59" s="132"/>
      <c r="C59" s="159" t="s">
        <v>143</v>
      </c>
      <c r="D59" s="273"/>
      <c r="E59" s="214"/>
      <c r="F59" s="274"/>
      <c r="G59" s="55"/>
      <c r="H59" s="156" t="s">
        <v>157</v>
      </c>
      <c r="I59" s="217"/>
      <c r="J59" s="132"/>
    </row>
    <row r="60" spans="1:11" ht="12.75" customHeight="1" thickTop="1" x14ac:dyDescent="0.2">
      <c r="B60" s="132"/>
      <c r="C60" s="159" t="s">
        <v>144</v>
      </c>
      <c r="D60" s="218"/>
      <c r="E60" s="219"/>
      <c r="F60" s="220"/>
      <c r="G60" s="157" t="s">
        <v>150</v>
      </c>
      <c r="H60" s="230" t="s">
        <v>155</v>
      </c>
      <c r="I60" s="221"/>
      <c r="J60" s="132"/>
    </row>
    <row r="61" spans="1:11" ht="12.75" customHeight="1" x14ac:dyDescent="0.2">
      <c r="B61" s="132"/>
      <c r="C61" s="159" t="s">
        <v>145</v>
      </c>
      <c r="D61" s="218"/>
      <c r="E61" s="219"/>
      <c r="F61" s="220"/>
      <c r="G61" s="158" t="s">
        <v>151</v>
      </c>
      <c r="H61" s="230" t="s">
        <v>156</v>
      </c>
      <c r="I61" s="221"/>
      <c r="J61" s="132"/>
    </row>
    <row r="62" spans="1:11" ht="12.75" customHeight="1" thickBot="1" x14ac:dyDescent="0.25">
      <c r="B62" s="132"/>
      <c r="C62" s="229" t="s">
        <v>206</v>
      </c>
      <c r="D62" s="222"/>
      <c r="E62" s="223"/>
      <c r="F62" s="224"/>
      <c r="G62" s="158" t="s">
        <v>152</v>
      </c>
      <c r="H62" s="231" t="s">
        <v>207</v>
      </c>
      <c r="I62" s="225"/>
      <c r="J62" s="132"/>
    </row>
    <row r="63" spans="1:11" ht="12.75" customHeight="1" thickTop="1" thickBot="1" x14ac:dyDescent="0.25">
      <c r="B63" s="132"/>
      <c r="C63" s="159" t="s">
        <v>146</v>
      </c>
      <c r="D63" s="226">
        <f>IF($D$59&lt;&gt;'Blad2 '!$A$10,IF($D$60&lt;&gt;'Blad2 '!$A$10,IF($D$61&lt;&gt;'Blad2 '!$A$10,IF($D$62&lt;&gt;'Blad2 '!$A$10,SUM($D$59*$D$62*($D$61-$D$60)/60),0),0),0),0)</f>
        <v>0</v>
      </c>
      <c r="E63" s="226">
        <f>IF($E$59&lt;&gt;'Blad2 '!$A$10,IF($E$60&lt;&gt;'Blad2 '!$A$10,IF($E$61&lt;&gt;'Blad2 '!$A$10,IF($E$62&lt;&gt;'Blad2 '!$A$10,SUM($E$59*$E$62*($E$61-$E$60)/60),0),0),0),0)</f>
        <v>0</v>
      </c>
      <c r="F63" s="227">
        <f>IF($F$59&lt;&gt;'Blad2 '!$A$10,IF($F$60&lt;&gt;'Blad2 '!$A$10,IF($F$61&lt;&gt;'Blad2 '!$A$10,IF($F$62&lt;&gt;'Blad2 '!$A$10,SUM($F$59*$F$62*($F$61-$F$60)/60),0),0),0),0)</f>
        <v>0</v>
      </c>
      <c r="G63" s="228">
        <f>IF(D63&lt;&gt;'Blad2 '!A10,SUM(D63+E63+F63),IF(E63&lt;&gt;'Blad2 '!A10,SUM(E63+F63),IF(F63&lt;&gt;'Blad2 '!A10,(F63),"")))</f>
        <v>0</v>
      </c>
      <c r="H63" s="232" t="s">
        <v>158</v>
      </c>
      <c r="I63" s="227">
        <f>IF($I$59&lt;&gt;'Blad2 '!$A$10,IF($I$60&lt;&gt;'Blad2 '!$A$10,IF($I$61&lt;&gt;'Blad2 '!$A$10,IF($I$62&lt;&gt;'Blad2 '!$A$10,SUM($I$59*$I$62*($I$60-$I$61)/60),0),0),0),0)</f>
        <v>0</v>
      </c>
      <c r="J63" s="132"/>
    </row>
    <row r="64" spans="1:11" ht="12.2" customHeight="1" thickTop="1" x14ac:dyDescent="0.2">
      <c r="A64" s="53"/>
      <c r="B64" s="53"/>
      <c r="C64" s="53"/>
      <c r="D64" s="53"/>
      <c r="E64" s="53"/>
      <c r="F64" s="53"/>
      <c r="I64" s="53"/>
      <c r="J64" s="48"/>
    </row>
    <row r="65" spans="1:10" ht="12.4" customHeight="1" x14ac:dyDescent="0.2">
      <c r="A65" s="144"/>
      <c r="B65" s="55"/>
      <c r="C65" s="55"/>
      <c r="D65" s="56"/>
      <c r="E65" s="148"/>
      <c r="F65" s="55"/>
      <c r="G65" s="149"/>
      <c r="H65" s="149"/>
      <c r="I65" s="53"/>
      <c r="J65" s="48"/>
    </row>
    <row r="66" spans="1:10" ht="12.4" customHeight="1" x14ac:dyDescent="0.2">
      <c r="A66" s="55"/>
      <c r="B66" s="55"/>
      <c r="C66" s="55"/>
      <c r="D66" s="56"/>
      <c r="E66" s="148"/>
      <c r="F66" s="55"/>
      <c r="G66" s="150"/>
      <c r="H66" s="55"/>
      <c r="I66" s="53"/>
      <c r="J66" s="67"/>
    </row>
    <row r="67" spans="1:10" ht="12.4" customHeight="1" x14ac:dyDescent="0.2">
      <c r="A67" s="144"/>
      <c r="B67" s="55"/>
      <c r="C67" s="55"/>
      <c r="D67" s="56"/>
      <c r="E67" s="148"/>
      <c r="F67" s="55"/>
      <c r="G67" s="150"/>
      <c r="H67" s="55"/>
      <c r="I67" s="53"/>
      <c r="J67" s="48"/>
    </row>
    <row r="68" spans="1:10" ht="12.4" customHeight="1" x14ac:dyDescent="0.2">
      <c r="A68" s="144"/>
      <c r="B68" s="55"/>
      <c r="C68" s="55"/>
      <c r="D68" s="56"/>
      <c r="E68" s="148"/>
      <c r="F68" s="55"/>
      <c r="G68" s="150"/>
      <c r="H68" s="55"/>
      <c r="I68" s="53"/>
      <c r="J68" s="48"/>
    </row>
    <row r="69" spans="1:10" ht="12.4" customHeight="1" x14ac:dyDescent="0.2">
      <c r="A69" s="144"/>
      <c r="B69" s="55"/>
      <c r="C69" s="55"/>
      <c r="D69" s="56"/>
      <c r="E69" s="55"/>
      <c r="F69" s="55"/>
      <c r="G69" s="150"/>
      <c r="H69" s="55"/>
      <c r="I69" s="53"/>
      <c r="J69" s="48"/>
    </row>
    <row r="70" spans="1:10" ht="12.4" customHeight="1" x14ac:dyDescent="0.2">
      <c r="A70" s="55"/>
      <c r="B70" s="55"/>
      <c r="C70" s="55"/>
      <c r="D70" s="55"/>
      <c r="E70" s="151"/>
      <c r="F70" s="55"/>
      <c r="G70" s="55"/>
      <c r="H70" s="55"/>
      <c r="I70" s="53"/>
      <c r="J70" s="48"/>
    </row>
    <row r="71" spans="1:10" ht="12.4" customHeight="1" x14ac:dyDescent="0.2">
      <c r="A71" s="144"/>
      <c r="B71" s="55"/>
      <c r="C71" s="55"/>
      <c r="D71" s="56"/>
      <c r="E71" s="152"/>
      <c r="F71" s="55"/>
      <c r="G71" s="153"/>
      <c r="H71" s="154"/>
      <c r="I71" s="53"/>
      <c r="J71" s="48"/>
    </row>
    <row r="72" spans="1:10" ht="12.4" customHeight="1" x14ac:dyDescent="0.2">
      <c r="A72" s="144"/>
      <c r="B72" s="55"/>
      <c r="C72" s="55"/>
      <c r="D72" s="56"/>
      <c r="E72" s="152"/>
      <c r="F72" s="55"/>
      <c r="G72" s="150"/>
      <c r="H72" s="55"/>
      <c r="I72" s="48"/>
      <c r="J72" s="48"/>
    </row>
    <row r="73" spans="1:10" ht="12.4" customHeight="1" x14ac:dyDescent="0.2">
      <c r="A73" s="144"/>
      <c r="B73" s="55"/>
      <c r="C73" s="55"/>
      <c r="D73" s="56"/>
      <c r="E73" s="152"/>
      <c r="F73" s="55"/>
      <c r="G73" s="150"/>
      <c r="H73" s="55"/>
      <c r="I73" s="1"/>
      <c r="J73" s="1"/>
    </row>
    <row r="74" spans="1:10" ht="12.4" customHeight="1" x14ac:dyDescent="0.2">
      <c r="A74" s="144"/>
      <c r="B74" s="55"/>
      <c r="C74" s="55"/>
      <c r="D74" s="56"/>
      <c r="E74" s="152"/>
      <c r="F74" s="55"/>
      <c r="G74" s="150"/>
      <c r="H74" s="55"/>
      <c r="I74" s="1"/>
      <c r="J74" s="1"/>
    </row>
    <row r="75" spans="1:10" ht="12.4" customHeight="1" x14ac:dyDescent="0.2">
      <c r="A75" s="144"/>
      <c r="B75" s="55"/>
      <c r="C75" s="55"/>
      <c r="D75" s="56"/>
      <c r="E75" s="55"/>
      <c r="F75" s="55"/>
      <c r="G75" s="150"/>
      <c r="H75" s="55"/>
      <c r="I75" s="1"/>
      <c r="J75" s="1"/>
    </row>
    <row r="76" spans="1:10" ht="12.4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2.4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2.4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2.4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2.4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2.4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2.4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2.4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2.4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2.4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2.4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2.4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2.4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2.4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2.4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2.4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2.4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2.4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2.4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2.4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2.4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12.4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12.4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t="12.4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t="12.4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t="12.4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t="12.4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t="12.4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12.4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t="12.4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12.4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12.4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12.4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12.4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12.4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2.4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12.4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2.4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12.4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12.4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12.4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12.4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12.4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2.4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12.4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2.4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2.4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2.4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2.4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2.4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2.4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2.4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12.4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12.4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12.4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12.4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12.4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12.4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12.4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12.4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12.4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12.4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12.4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12.4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12.4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2.4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12.4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t="12.4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t="12.4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t="12.4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t="12.4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t="12.4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12.4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t="12.4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12.4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2.4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12.4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t="12.4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12.4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t="12.4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t="12.4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t="12.4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t="12.4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t="12.4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t="12.4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t="12.4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t="12.4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t="12.4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t="12.4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t="12.4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t="12.4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t="12.4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t="12.4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t="12.4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t="12.4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t="12.4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t="12.4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t="12.4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t="12.4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t="12.4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t="12.4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t="12.4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t="12.4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t="12.4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t="12.4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t="12.4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t="12.4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t="12.4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t="12.4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t="12.4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t="12.4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t="12.4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t="12.4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</row>
  </sheetData>
  <sheetProtection password="CD80" sheet="1" objects="1" scenarios="1"/>
  <mergeCells count="13">
    <mergeCell ref="A2:D4"/>
    <mergeCell ref="E7:F7"/>
    <mergeCell ref="I10:J10"/>
    <mergeCell ref="A45:B45"/>
    <mergeCell ref="A38:B40"/>
    <mergeCell ref="A41:B44"/>
    <mergeCell ref="A33:B34"/>
    <mergeCell ref="A36:B36"/>
    <mergeCell ref="A24:B27"/>
    <mergeCell ref="A21:B23"/>
    <mergeCell ref="A28:B31"/>
    <mergeCell ref="A32:C32"/>
    <mergeCell ref="A8:B8"/>
  </mergeCells>
  <dataValidations count="3">
    <dataValidation allowBlank="1" showDropDown="1" showInputMessage="1" showErrorMessage="1" sqref="C14"/>
    <dataValidation type="decimal" operator="lessThanOrEqual" showInputMessage="1" showErrorMessage="1" sqref="G10">
      <formula1>1</formula1>
    </dataValidation>
    <dataValidation type="decimal" operator="lessThanOrEqual" allowBlank="1" showInputMessage="1" showErrorMessage="1" sqref="G11">
      <formula1>1</formula1>
    </dataValidation>
  </dataValidations>
  <pageMargins left="0.59055118110236227" right="0.19685039370078741" top="0.39370078740157483" bottom="0.39370078740157483" header="0" footer="0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autoLine="0" linkedCell="A9" r:id="rId5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1</xdr:col>
                <xdr:colOff>552450</xdr:colOff>
                <xdr:row>9</xdr:row>
                <xdr:rowOff>28575</xdr:rowOff>
              </to>
            </anchor>
          </controlPr>
        </control>
      </mc:Choice>
      <mc:Fallback>
        <control shapeId="1025" r:id="rId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2"/>
  <dimension ref="A1:K55"/>
  <sheetViews>
    <sheetView workbookViewId="0">
      <selection activeCell="H14" sqref="H14"/>
    </sheetView>
  </sheetViews>
  <sheetFormatPr defaultRowHeight="12.75" x14ac:dyDescent="0.2"/>
  <cols>
    <col min="1" max="1" width="8" customWidth="1"/>
    <col min="3" max="3" width="11.85546875" bestFit="1" customWidth="1"/>
    <col min="6" max="6" width="10.28515625" bestFit="1" customWidth="1"/>
    <col min="7" max="7" width="10.85546875" customWidth="1"/>
    <col min="10" max="10" width="6.28515625" customWidth="1"/>
  </cols>
  <sheetData>
    <row r="1" spans="1:11" ht="13.5" thickBot="1" x14ac:dyDescent="0.25">
      <c r="A1" s="233"/>
      <c r="B1" s="233"/>
      <c r="C1" s="233"/>
      <c r="D1" s="233"/>
      <c r="E1" s="233"/>
      <c r="F1" s="233"/>
      <c r="G1" s="233"/>
      <c r="H1" s="233"/>
      <c r="I1" s="233"/>
    </row>
    <row r="2" spans="1:11" ht="14.25" thickTop="1" thickBot="1" x14ac:dyDescent="0.25">
      <c r="A2" s="233"/>
      <c r="B2" s="234" t="s">
        <v>99</v>
      </c>
      <c r="C2" s="234"/>
      <c r="D2" s="234" t="str">
        <f>Beräkningsblad!C8</f>
        <v>R290</v>
      </c>
      <c r="E2" s="233"/>
      <c r="F2" s="233"/>
      <c r="G2" s="233"/>
      <c r="H2" s="233"/>
      <c r="I2" s="233"/>
    </row>
    <row r="3" spans="1:11" ht="14.25" thickTop="1" thickBot="1" x14ac:dyDescent="0.25">
      <c r="A3" s="233"/>
      <c r="B3" s="233"/>
      <c r="C3" s="233"/>
      <c r="D3" s="233"/>
      <c r="E3" s="235"/>
      <c r="F3" s="338">
        <f>Beräkningsblad!G3</f>
        <v>0</v>
      </c>
      <c r="G3" s="339"/>
      <c r="H3" s="339"/>
      <c r="I3" s="340"/>
    </row>
    <row r="4" spans="1:11" ht="14.25" thickTop="1" thickBot="1" x14ac:dyDescent="0.25">
      <c r="A4" s="233"/>
      <c r="B4" s="236"/>
      <c r="C4" s="344" t="str">
        <f>Beräkningsblad!G2</f>
        <v>Noteringar</v>
      </c>
      <c r="D4" s="345"/>
      <c r="E4" s="236"/>
      <c r="F4" s="341">
        <f>Beräkningsblad!G5</f>
        <v>0</v>
      </c>
      <c r="G4" s="342"/>
      <c r="H4" s="342"/>
      <c r="I4" s="343"/>
    </row>
    <row r="5" spans="1:11" ht="14.25" thickTop="1" thickBot="1" x14ac:dyDescent="0.25">
      <c r="A5" s="233"/>
      <c r="B5" s="233"/>
      <c r="C5" s="237" t="s">
        <v>2</v>
      </c>
      <c r="D5" s="237" t="s">
        <v>1</v>
      </c>
      <c r="E5" s="237" t="s">
        <v>0</v>
      </c>
      <c r="F5" s="233"/>
      <c r="G5" s="233"/>
      <c r="H5" s="233"/>
      <c r="I5" s="233"/>
    </row>
    <row r="6" spans="1:11" ht="14.25" thickTop="1" thickBot="1" x14ac:dyDescent="0.25">
      <c r="A6" s="233"/>
      <c r="B6" s="234" t="s">
        <v>66</v>
      </c>
      <c r="C6" s="235">
        <f>Beräkningsblad!C10</f>
        <v>400</v>
      </c>
      <c r="D6" s="235">
        <f>Beräkningsblad!D10</f>
        <v>400</v>
      </c>
      <c r="E6" s="235">
        <f>Beräkningsblad!E10</f>
        <v>400</v>
      </c>
      <c r="F6" s="234" t="s">
        <v>67</v>
      </c>
      <c r="G6" s="235" t="s">
        <v>98</v>
      </c>
      <c r="H6" s="235">
        <f>Beräkningsblad!G10</f>
        <v>0.7</v>
      </c>
      <c r="I6" s="233"/>
    </row>
    <row r="7" spans="1:11" ht="14.25" thickTop="1" thickBot="1" x14ac:dyDescent="0.25">
      <c r="A7" s="233"/>
      <c r="B7" s="233"/>
      <c r="C7" s="233"/>
      <c r="D7" s="233"/>
      <c r="E7" s="233"/>
      <c r="F7" s="233"/>
      <c r="G7" s="233"/>
      <c r="H7" s="233"/>
      <c r="I7" s="233"/>
    </row>
    <row r="8" spans="1:11" ht="14.25" thickTop="1" thickBot="1" x14ac:dyDescent="0.25">
      <c r="A8" s="233"/>
      <c r="B8" s="235" t="s">
        <v>68</v>
      </c>
      <c r="C8" s="235">
        <f>Beräkningsblad!C11</f>
        <v>4.04</v>
      </c>
      <c r="D8" s="235">
        <f>Beräkningsblad!D11</f>
        <v>4.04</v>
      </c>
      <c r="E8" s="235">
        <f>Beräkningsblad!E11</f>
        <v>4.04</v>
      </c>
      <c r="F8" s="234" t="s">
        <v>69</v>
      </c>
      <c r="G8" s="238" t="s">
        <v>70</v>
      </c>
      <c r="H8" s="239">
        <f>Beräkningsblad!I54</f>
        <v>0.66133500525166589</v>
      </c>
      <c r="I8" s="233"/>
    </row>
    <row r="9" spans="1:11" ht="14.25" thickTop="1" thickBot="1" x14ac:dyDescent="0.25">
      <c r="A9" s="233"/>
      <c r="B9" s="233"/>
      <c r="C9" s="233"/>
      <c r="D9" s="233"/>
      <c r="E9" s="233"/>
      <c r="F9" s="233"/>
      <c r="G9" s="233"/>
      <c r="H9" s="233"/>
      <c r="I9" s="233"/>
    </row>
    <row r="10" spans="1:11" ht="14.25" thickTop="1" thickBot="1" x14ac:dyDescent="0.25">
      <c r="A10" s="233"/>
      <c r="B10" s="235" t="s">
        <v>71</v>
      </c>
      <c r="C10" s="235">
        <f>Beräkningsblad!C17</f>
        <v>18</v>
      </c>
      <c r="D10" s="234" t="s">
        <v>72</v>
      </c>
      <c r="E10" s="233"/>
      <c r="F10" s="234" t="s">
        <v>73</v>
      </c>
      <c r="G10" s="234"/>
      <c r="H10" s="235">
        <f>Beräkningsblad!E24</f>
        <v>76</v>
      </c>
      <c r="I10" s="234" t="s">
        <v>65</v>
      </c>
    </row>
    <row r="11" spans="1:11" ht="14.25" thickTop="1" thickBot="1" x14ac:dyDescent="0.25">
      <c r="A11" s="233"/>
      <c r="B11" s="233"/>
      <c r="C11" s="233"/>
      <c r="D11" s="233"/>
      <c r="E11" s="233"/>
      <c r="F11" s="233"/>
      <c r="G11" s="233"/>
      <c r="H11" s="233"/>
      <c r="I11" s="233"/>
    </row>
    <row r="12" spans="1:11" ht="14.25" thickTop="1" thickBot="1" x14ac:dyDescent="0.25">
      <c r="A12" s="233"/>
      <c r="B12" s="235" t="s">
        <v>74</v>
      </c>
      <c r="C12" s="235">
        <f>Beräkningsblad!C14</f>
        <v>3.24</v>
      </c>
      <c r="D12" s="234" t="s">
        <v>72</v>
      </c>
      <c r="E12" s="233"/>
      <c r="F12" s="234" t="s">
        <v>75</v>
      </c>
      <c r="G12" s="234"/>
      <c r="H12" s="235">
        <f>Beräkningsblad!E25</f>
        <v>44</v>
      </c>
      <c r="I12" s="234" t="s">
        <v>65</v>
      </c>
    </row>
    <row r="13" spans="1:11" ht="14.25" thickTop="1" thickBot="1" x14ac:dyDescent="0.25">
      <c r="A13" s="233"/>
      <c r="B13" s="233"/>
      <c r="C13" s="233"/>
      <c r="D13" s="233"/>
      <c r="E13" s="233"/>
      <c r="F13" s="233"/>
      <c r="G13" s="233"/>
      <c r="H13" s="233"/>
      <c r="I13" s="233"/>
    </row>
    <row r="14" spans="1:11" ht="14.25" thickTop="1" thickBot="1" x14ac:dyDescent="0.25">
      <c r="A14" s="233"/>
      <c r="B14" s="235" t="s">
        <v>52</v>
      </c>
      <c r="C14" s="235">
        <f>Beräkningsblad!E20</f>
        <v>76</v>
      </c>
      <c r="D14" s="234" t="s">
        <v>65</v>
      </c>
      <c r="E14" s="240"/>
      <c r="F14" s="234"/>
      <c r="G14" s="236" t="s">
        <v>76</v>
      </c>
      <c r="H14" s="235">
        <f>Beräkningsblad!E32</f>
        <v>44</v>
      </c>
      <c r="I14" s="234" t="s">
        <v>65</v>
      </c>
      <c r="K14" s="85"/>
    </row>
    <row r="15" spans="1:11" ht="14.25" thickTop="1" thickBot="1" x14ac:dyDescent="0.25">
      <c r="A15" s="233"/>
      <c r="B15" s="233"/>
      <c r="C15" s="233"/>
      <c r="D15" s="233"/>
      <c r="E15" s="233"/>
      <c r="F15" s="233"/>
      <c r="G15" s="233"/>
      <c r="H15" s="233"/>
      <c r="I15" s="233"/>
    </row>
    <row r="16" spans="1:11" ht="14.25" thickTop="1" thickBot="1" x14ac:dyDescent="0.25">
      <c r="A16" s="233"/>
      <c r="B16" s="235" t="s">
        <v>77</v>
      </c>
      <c r="C16" s="235">
        <f>Beräkningsblad!E45</f>
        <v>6.9</v>
      </c>
      <c r="D16" s="234" t="s">
        <v>65</v>
      </c>
      <c r="E16" s="240"/>
      <c r="F16" s="234"/>
      <c r="G16" s="236" t="s">
        <v>78</v>
      </c>
      <c r="H16" s="235">
        <f>Beräkningsblad!E33</f>
        <v>41.6</v>
      </c>
      <c r="I16" s="234" t="s">
        <v>65</v>
      </c>
    </row>
    <row r="17" spans="1:10" ht="14.25" thickTop="1" thickBot="1" x14ac:dyDescent="0.25">
      <c r="A17" s="233"/>
      <c r="B17" s="233"/>
      <c r="C17" s="233"/>
      <c r="D17" s="233"/>
      <c r="E17" s="233"/>
      <c r="F17" s="233"/>
      <c r="G17" s="233"/>
      <c r="H17" s="233"/>
      <c r="I17" s="233"/>
    </row>
    <row r="18" spans="1:10" ht="14.25" thickTop="1" thickBot="1" x14ac:dyDescent="0.25">
      <c r="A18" s="234"/>
      <c r="B18" s="236" t="s">
        <v>79</v>
      </c>
      <c r="C18" s="235">
        <f>Beräkningsblad!E21</f>
        <v>76</v>
      </c>
      <c r="D18" s="234" t="s">
        <v>65</v>
      </c>
      <c r="E18" s="233"/>
      <c r="F18" s="234"/>
      <c r="G18" s="236" t="s">
        <v>80</v>
      </c>
      <c r="H18" s="235">
        <f>Beräkningsblad!E41</f>
        <v>3.7</v>
      </c>
      <c r="I18" s="234" t="s">
        <v>65</v>
      </c>
    </row>
    <row r="19" spans="1:10" ht="14.25" thickTop="1" thickBot="1" x14ac:dyDescent="0.25">
      <c r="A19" s="233"/>
      <c r="B19" s="241"/>
      <c r="C19" s="233"/>
      <c r="D19" s="233"/>
      <c r="E19" s="233"/>
      <c r="F19" s="233"/>
      <c r="G19" s="233"/>
      <c r="H19" s="233"/>
      <c r="I19" s="233"/>
    </row>
    <row r="20" spans="1:10" ht="14.25" thickTop="1" thickBot="1" x14ac:dyDescent="0.25">
      <c r="A20" s="234"/>
      <c r="B20" s="236" t="s">
        <v>81</v>
      </c>
      <c r="C20" s="235">
        <f>Beräkningsblad!E22</f>
        <v>76</v>
      </c>
      <c r="D20" s="234" t="s">
        <v>65</v>
      </c>
      <c r="E20" s="233"/>
      <c r="F20" s="234"/>
      <c r="G20" s="236" t="s">
        <v>82</v>
      </c>
      <c r="H20" s="235">
        <f>Beräkningsblad!E42</f>
        <v>6.9</v>
      </c>
      <c r="I20" s="234" t="s">
        <v>65</v>
      </c>
    </row>
    <row r="21" spans="1:10" ht="14.25" thickTop="1" thickBot="1" x14ac:dyDescent="0.25">
      <c r="A21" s="233"/>
      <c r="B21" s="233"/>
      <c r="C21" s="233"/>
      <c r="D21" s="233"/>
      <c r="E21" s="233"/>
      <c r="F21" s="233"/>
      <c r="G21" s="233"/>
      <c r="H21" s="233"/>
      <c r="I21" s="233"/>
    </row>
    <row r="22" spans="1:10" ht="14.25" thickTop="1" thickBot="1" x14ac:dyDescent="0.25">
      <c r="A22" s="234"/>
      <c r="B22" s="236" t="s">
        <v>83</v>
      </c>
      <c r="C22" s="235">
        <f>Beräkningsblad!E36</f>
        <v>41.6</v>
      </c>
      <c r="D22" s="234" t="s">
        <v>65</v>
      </c>
      <c r="E22" s="233"/>
      <c r="F22" s="234" t="s">
        <v>84</v>
      </c>
      <c r="G22" s="234"/>
      <c r="H22" s="235">
        <f>Beräkningsblad!E38</f>
        <v>3.7</v>
      </c>
      <c r="I22" s="234" t="s">
        <v>65</v>
      </c>
    </row>
    <row r="23" spans="1:10" ht="14.25" thickTop="1" thickBot="1" x14ac:dyDescent="0.25">
      <c r="A23" s="233"/>
      <c r="B23" s="233"/>
      <c r="C23" s="233"/>
      <c r="D23" s="233"/>
      <c r="E23" s="233"/>
      <c r="F23" s="233"/>
      <c r="G23" s="233"/>
      <c r="H23" s="233"/>
      <c r="I23" s="233"/>
    </row>
    <row r="24" spans="1:10" ht="14.25" thickTop="1" thickBot="1" x14ac:dyDescent="0.25">
      <c r="A24" s="242" t="s">
        <v>85</v>
      </c>
      <c r="B24" s="243"/>
      <c r="C24" s="244"/>
      <c r="D24" s="244"/>
      <c r="E24" s="244"/>
      <c r="F24" s="244"/>
      <c r="G24" s="245" t="s">
        <v>71</v>
      </c>
      <c r="H24" s="243">
        <f>Beräkningsblad!E18</f>
        <v>50</v>
      </c>
      <c r="I24" s="246" t="s">
        <v>65</v>
      </c>
    </row>
    <row r="25" spans="1:10" ht="14.25" thickTop="1" thickBot="1" x14ac:dyDescent="0.25">
      <c r="A25" s="246">
        <f>Beräkningsblad!E19</f>
        <v>50</v>
      </c>
      <c r="B25" s="246" t="s">
        <v>65</v>
      </c>
      <c r="C25" s="244"/>
      <c r="D25" s="244"/>
      <c r="E25" s="244"/>
      <c r="F25" s="244"/>
      <c r="G25" s="247" t="s">
        <v>86</v>
      </c>
      <c r="H25" s="243">
        <f>Beräkningsblad!E17</f>
        <v>19</v>
      </c>
      <c r="I25" s="245" t="s">
        <v>87</v>
      </c>
    </row>
    <row r="26" spans="1:10" ht="14.25" thickTop="1" thickBot="1" x14ac:dyDescent="0.25">
      <c r="A26" s="246">
        <f>Beräkningsblad!E17</f>
        <v>19</v>
      </c>
      <c r="B26" s="246" t="s">
        <v>87</v>
      </c>
      <c r="C26" s="244"/>
      <c r="D26" s="244"/>
      <c r="E26" s="244"/>
      <c r="F26" s="244"/>
      <c r="G26" s="248"/>
      <c r="H26" s="246">
        <f>Beräkningsblad!J18</f>
        <v>622.17999999999995</v>
      </c>
      <c r="I26" s="246" t="s">
        <v>88</v>
      </c>
      <c r="J26" s="3"/>
    </row>
    <row r="27" spans="1:10" ht="14.25" thickTop="1" thickBot="1" x14ac:dyDescent="0.25">
      <c r="A27" s="246">
        <f>Beräkningsblad!I19</f>
        <v>337.99</v>
      </c>
      <c r="B27" s="246" t="s">
        <v>88</v>
      </c>
      <c r="C27" s="244"/>
      <c r="D27" s="244"/>
      <c r="E27" s="244"/>
      <c r="F27" s="244"/>
      <c r="G27" s="248"/>
      <c r="H27" s="248"/>
      <c r="I27" s="244"/>
    </row>
    <row r="28" spans="1:10" ht="14.25" thickTop="1" thickBot="1" x14ac:dyDescent="0.25">
      <c r="A28" s="242" t="s">
        <v>104</v>
      </c>
      <c r="B28" s="243"/>
      <c r="C28" s="244"/>
      <c r="D28" s="244"/>
      <c r="E28" s="244"/>
      <c r="F28" s="244"/>
      <c r="G28" s="347" t="s">
        <v>89</v>
      </c>
      <c r="H28" s="246">
        <f>Beräkningsblad!E20</f>
        <v>76</v>
      </c>
      <c r="I28" s="245" t="s">
        <v>65</v>
      </c>
    </row>
    <row r="29" spans="1:10" ht="14.25" thickTop="1" thickBot="1" x14ac:dyDescent="0.25">
      <c r="A29" s="246">
        <f>Beräkningsblad!E37</f>
        <v>8.3999999999999986</v>
      </c>
      <c r="B29" s="246" t="s">
        <v>103</v>
      </c>
      <c r="C29" s="244"/>
      <c r="D29" s="244"/>
      <c r="E29" s="244"/>
      <c r="F29" s="244"/>
      <c r="G29" s="348"/>
      <c r="H29" s="242">
        <f>Beräkningsblad!J20</f>
        <v>684.51314285714284</v>
      </c>
      <c r="I29" s="246" t="s">
        <v>88</v>
      </c>
      <c r="J29" s="3"/>
    </row>
    <row r="30" spans="1:10" ht="14.25" thickTop="1" thickBot="1" x14ac:dyDescent="0.25">
      <c r="A30" s="246">
        <f>Beräkningsblad!E36</f>
        <v>41.6</v>
      </c>
      <c r="B30" s="246" t="s">
        <v>65</v>
      </c>
      <c r="C30" s="244"/>
      <c r="D30" s="244"/>
      <c r="E30" s="244"/>
      <c r="F30" s="244"/>
      <c r="G30" s="248"/>
      <c r="H30" s="244"/>
      <c r="I30" s="244"/>
    </row>
    <row r="31" spans="1:10" ht="14.25" thickTop="1" thickBot="1" x14ac:dyDescent="0.25">
      <c r="A31" s="246">
        <f>Beräkningsblad!I36</f>
        <v>310.85000000000002</v>
      </c>
      <c r="B31" s="246" t="s">
        <v>88</v>
      </c>
      <c r="C31" s="244"/>
      <c r="D31" s="244"/>
      <c r="E31" s="244"/>
      <c r="F31" s="244"/>
      <c r="G31" s="245" t="s">
        <v>90</v>
      </c>
      <c r="H31" s="251">
        <f>Beräkningsblad!E22</f>
        <v>76</v>
      </c>
      <c r="I31" s="347" t="s">
        <v>65</v>
      </c>
    </row>
    <row r="32" spans="1:10" ht="14.25" thickTop="1" thickBot="1" x14ac:dyDescent="0.25">
      <c r="A32" s="252" t="s">
        <v>91</v>
      </c>
      <c r="B32" s="253"/>
      <c r="C32" s="244"/>
      <c r="D32" s="244"/>
      <c r="E32" s="244"/>
      <c r="F32" s="244"/>
      <c r="G32" s="247" t="s">
        <v>92</v>
      </c>
      <c r="H32" s="251">
        <f>Beräkningsblad!E24</f>
        <v>76</v>
      </c>
      <c r="I32" s="348"/>
    </row>
    <row r="33" spans="1:9" ht="14.25" thickTop="1" thickBot="1" x14ac:dyDescent="0.25">
      <c r="A33" s="254" t="s">
        <v>57</v>
      </c>
      <c r="B33" s="255"/>
      <c r="C33" s="244"/>
      <c r="D33" s="244"/>
      <c r="E33" s="244"/>
      <c r="F33" s="244"/>
      <c r="G33" s="248"/>
      <c r="H33" s="244"/>
      <c r="I33" s="244"/>
    </row>
    <row r="34" spans="1:9" ht="14.25" thickTop="1" thickBot="1" x14ac:dyDescent="0.25">
      <c r="A34" s="244"/>
      <c r="B34" s="244"/>
      <c r="C34" s="244"/>
      <c r="D34" s="244"/>
      <c r="E34" s="244"/>
      <c r="F34" s="244"/>
      <c r="G34" s="249" t="s">
        <v>93</v>
      </c>
      <c r="H34" s="246">
        <f>Beräkningsblad!E45</f>
        <v>6.9</v>
      </c>
      <c r="I34" s="246" t="s">
        <v>65</v>
      </c>
    </row>
    <row r="35" spans="1:9" ht="14.25" thickTop="1" thickBot="1" x14ac:dyDescent="0.25">
      <c r="A35" s="248"/>
      <c r="B35" s="248"/>
      <c r="C35" s="244"/>
      <c r="D35" s="244"/>
      <c r="E35" s="244"/>
      <c r="F35" s="244"/>
      <c r="G35" s="250"/>
      <c r="H35" s="246">
        <f>Beräkningsblad!J45</f>
        <v>591.28566935483866</v>
      </c>
      <c r="I35" s="246" t="s">
        <v>88</v>
      </c>
    </row>
    <row r="36" spans="1:9" ht="14.25" thickTop="1" thickBot="1" x14ac:dyDescent="0.25">
      <c r="A36" s="246" t="s">
        <v>74</v>
      </c>
      <c r="B36" s="246"/>
      <c r="C36" s="244"/>
      <c r="D36" s="244"/>
      <c r="E36" s="244"/>
      <c r="F36" s="248"/>
      <c r="G36" s="246" t="s">
        <v>102</v>
      </c>
      <c r="H36" s="246">
        <f>Beräkningsblad!E46</f>
        <v>10.9</v>
      </c>
      <c r="I36" s="246" t="s">
        <v>103</v>
      </c>
    </row>
    <row r="37" spans="1:9" ht="14.25" thickTop="1" thickBot="1" x14ac:dyDescent="0.25">
      <c r="A37" s="246">
        <f>Beräkningsblad!E14</f>
        <v>4.24</v>
      </c>
      <c r="B37" s="246" t="s">
        <v>87</v>
      </c>
      <c r="C37" s="244"/>
      <c r="D37" s="244"/>
      <c r="E37" s="244"/>
      <c r="F37" s="248"/>
      <c r="G37" s="245" t="s">
        <v>94</v>
      </c>
      <c r="H37" s="246">
        <f>Beräkningsblad!E15</f>
        <v>-4</v>
      </c>
      <c r="I37" s="246" t="s">
        <v>65</v>
      </c>
    </row>
    <row r="38" spans="1:9" ht="14.25" thickTop="1" thickBot="1" x14ac:dyDescent="0.25">
      <c r="A38" s="244"/>
      <c r="B38" s="244"/>
      <c r="C38" s="244"/>
      <c r="D38" s="244"/>
      <c r="E38" s="244"/>
      <c r="F38" s="248"/>
      <c r="G38" s="247" t="s">
        <v>86</v>
      </c>
      <c r="H38" s="246">
        <f>Beräkningsblad!J15</f>
        <v>570.13</v>
      </c>
      <c r="I38" s="246" t="s">
        <v>88</v>
      </c>
    </row>
    <row r="39" spans="1:9" ht="14.25" thickTop="1" thickBot="1" x14ac:dyDescent="0.25">
      <c r="A39" s="244"/>
      <c r="B39" s="256"/>
      <c r="C39" s="257"/>
      <c r="D39" s="257"/>
      <c r="E39" s="257"/>
      <c r="F39" s="258"/>
      <c r="G39" s="248"/>
      <c r="H39" s="248"/>
      <c r="I39" s="248"/>
    </row>
    <row r="40" spans="1:9" ht="14.25" thickTop="1" thickBot="1" x14ac:dyDescent="0.25">
      <c r="A40" s="331" t="s">
        <v>95</v>
      </c>
      <c r="B40" s="259">
        <f>H29</f>
        <v>684.51314285714284</v>
      </c>
      <c r="C40" s="260" t="s">
        <v>96</v>
      </c>
      <c r="D40" s="261">
        <f>A31</f>
        <v>310.85000000000002</v>
      </c>
      <c r="E40" s="262" t="s">
        <v>209</v>
      </c>
      <c r="F40" s="333">
        <f>(B40-D40)/(B41-D41)*'Blad2 '!F42</f>
        <v>2.6506834011507876</v>
      </c>
      <c r="G40" s="244"/>
      <c r="H40" s="346" t="s">
        <v>200</v>
      </c>
      <c r="I40" s="345"/>
    </row>
    <row r="41" spans="1:9" ht="14.25" thickTop="1" thickBot="1" x14ac:dyDescent="0.25">
      <c r="A41" s="332"/>
      <c r="B41" s="263">
        <f>H29</f>
        <v>684.51314285714284</v>
      </c>
      <c r="C41" s="264" t="s">
        <v>96</v>
      </c>
      <c r="D41" s="265">
        <f>H35</f>
        <v>591.28566935483866</v>
      </c>
      <c r="E41" s="266" t="s">
        <v>208</v>
      </c>
      <c r="F41" s="334"/>
      <c r="G41" s="244"/>
      <c r="H41" s="267">
        <f>Beräkningsblad!E50</f>
        <v>1.9592958735219135</v>
      </c>
      <c r="I41" s="246" t="s">
        <v>201</v>
      </c>
    </row>
    <row r="42" spans="1:9" ht="14.25" thickTop="1" thickBot="1" x14ac:dyDescent="0.25">
      <c r="A42" s="244"/>
      <c r="B42" s="244"/>
      <c r="C42" s="244"/>
      <c r="D42" s="244"/>
      <c r="E42" s="244"/>
      <c r="F42" s="244"/>
      <c r="G42" s="244"/>
      <c r="H42" s="268"/>
      <c r="I42" s="269"/>
    </row>
    <row r="43" spans="1:9" ht="14.25" thickTop="1" thickBot="1" x14ac:dyDescent="0.25">
      <c r="A43" s="331" t="s">
        <v>97</v>
      </c>
      <c r="B43" s="270">
        <f>H35</f>
        <v>591.28566935483866</v>
      </c>
      <c r="C43" s="260" t="s">
        <v>96</v>
      </c>
      <c r="D43" s="261">
        <f>A31</f>
        <v>310.85000000000002</v>
      </c>
      <c r="E43" s="262" t="s">
        <v>209</v>
      </c>
      <c r="F43" s="333">
        <f>(B43-D43)/(B44-D44)*'Blad2 '!F42</f>
        <v>1.9893483958991212</v>
      </c>
      <c r="G43" s="244"/>
      <c r="H43" s="336" t="s">
        <v>202</v>
      </c>
      <c r="I43" s="337"/>
    </row>
    <row r="44" spans="1:9" ht="14.25" thickTop="1" thickBot="1" x14ac:dyDescent="0.25">
      <c r="A44" s="332"/>
      <c r="B44" s="263">
        <f>H29</f>
        <v>684.51314285714284</v>
      </c>
      <c r="C44" s="264" t="s">
        <v>96</v>
      </c>
      <c r="D44" s="265">
        <f>H35</f>
        <v>591.28566935483866</v>
      </c>
      <c r="E44" s="271" t="s">
        <v>208</v>
      </c>
      <c r="F44" s="335"/>
      <c r="G44" s="244"/>
      <c r="H44" s="272">
        <f>Beräkningsblad!E54</f>
        <v>5.0694956641312343</v>
      </c>
      <c r="I44" s="246" t="s">
        <v>201</v>
      </c>
    </row>
    <row r="45" spans="1:9" ht="13.5" thickTop="1" x14ac:dyDescent="0.2">
      <c r="A45" s="244"/>
      <c r="B45" s="244"/>
      <c r="C45" s="244"/>
      <c r="D45" s="244"/>
      <c r="E45" s="244"/>
      <c r="F45" s="244"/>
      <c r="G45" s="244"/>
      <c r="H45" s="268"/>
      <c r="I45" s="269"/>
    </row>
    <row r="46" spans="1:9" ht="13.5" thickBot="1" x14ac:dyDescent="0.25">
      <c r="A46" s="244"/>
      <c r="B46" s="244"/>
      <c r="C46" s="244"/>
      <c r="D46" s="244"/>
      <c r="E46" s="244"/>
      <c r="F46" s="244"/>
      <c r="G46" s="244"/>
      <c r="H46" s="268"/>
      <c r="I46" s="269"/>
    </row>
    <row r="47" spans="1:9" ht="14.25" thickTop="1" thickBot="1" x14ac:dyDescent="0.25">
      <c r="A47" s="288"/>
      <c r="B47" s="288"/>
      <c r="C47" s="288"/>
      <c r="D47" s="288"/>
      <c r="E47" s="288"/>
      <c r="F47" s="288"/>
      <c r="G47" s="53"/>
      <c r="H47" s="208" t="s">
        <v>203</v>
      </c>
      <c r="I47" s="209">
        <f>Beräkningsblad!J51</f>
        <v>2.5874069009386576</v>
      </c>
    </row>
    <row r="48" spans="1:9" ht="13.5" thickTop="1" x14ac:dyDescent="0.2">
      <c r="A48" s="288"/>
      <c r="B48" s="288"/>
      <c r="C48" s="288"/>
      <c r="D48" s="288"/>
      <c r="E48" s="289"/>
      <c r="F48" s="288"/>
      <c r="G48" s="53"/>
      <c r="H48" s="53"/>
      <c r="I48" s="53"/>
    </row>
    <row r="49" spans="1:9" x14ac:dyDescent="0.2">
      <c r="A49" s="288"/>
      <c r="B49" s="288"/>
      <c r="C49" s="288"/>
      <c r="D49" s="288"/>
      <c r="E49" s="289"/>
      <c r="F49" s="288"/>
      <c r="G49" s="53"/>
      <c r="H49" s="53"/>
      <c r="I49" s="53"/>
    </row>
    <row r="50" spans="1:9" x14ac:dyDescent="0.2">
      <c r="A50" s="288"/>
      <c r="B50" s="288"/>
      <c r="C50" s="288"/>
      <c r="D50" s="288"/>
      <c r="E50" s="289"/>
      <c r="F50" s="288"/>
      <c r="G50" s="53"/>
      <c r="H50" s="53"/>
      <c r="I50" s="53"/>
    </row>
    <row r="51" spans="1:9" x14ac:dyDescent="0.2">
      <c r="A51" s="288"/>
      <c r="B51" s="288"/>
      <c r="C51" s="288"/>
      <c r="D51" s="288"/>
      <c r="E51" s="289"/>
      <c r="F51" s="288"/>
      <c r="G51" s="53"/>
      <c r="H51" s="53"/>
      <c r="I51" s="53"/>
    </row>
    <row r="52" spans="1:9" x14ac:dyDescent="0.2">
      <c r="A52" s="288"/>
      <c r="B52" s="288"/>
      <c r="C52" s="288"/>
      <c r="D52" s="288"/>
      <c r="E52" s="289"/>
      <c r="F52" s="288"/>
      <c r="G52" s="53"/>
      <c r="H52" s="53"/>
      <c r="I52" s="53"/>
    </row>
    <row r="53" spans="1:9" x14ac:dyDescent="0.2">
      <c r="A53" s="288"/>
      <c r="B53" s="288"/>
      <c r="C53" s="288"/>
      <c r="D53" s="288"/>
      <c r="E53" s="289"/>
      <c r="F53" s="288"/>
      <c r="G53" s="53"/>
      <c r="H53" s="53"/>
      <c r="I53" s="53"/>
    </row>
    <row r="54" spans="1:9" x14ac:dyDescent="0.2">
      <c r="A54" s="288"/>
      <c r="B54" s="288"/>
      <c r="C54" s="288"/>
      <c r="D54" s="288"/>
      <c r="E54" s="289"/>
      <c r="F54" s="288"/>
      <c r="G54" s="53"/>
      <c r="H54" s="53"/>
      <c r="I54" s="53"/>
    </row>
    <row r="55" spans="1:9" x14ac:dyDescent="0.2">
      <c r="A55" s="244"/>
      <c r="B55" s="244"/>
      <c r="C55" s="244"/>
      <c r="D55" s="244"/>
      <c r="E55" s="244"/>
      <c r="F55" s="244"/>
      <c r="G55" s="244"/>
      <c r="H55" s="244"/>
      <c r="I55" s="244"/>
    </row>
  </sheetData>
  <sheetProtection password="CD80" sheet="1" objects="1" scenarios="1"/>
  <mergeCells count="11">
    <mergeCell ref="F3:I3"/>
    <mergeCell ref="F4:I4"/>
    <mergeCell ref="C4:D4"/>
    <mergeCell ref="H40:I40"/>
    <mergeCell ref="I31:I32"/>
    <mergeCell ref="G28:G29"/>
    <mergeCell ref="A40:A41"/>
    <mergeCell ref="F40:F41"/>
    <mergeCell ref="A43:A44"/>
    <mergeCell ref="F43:F44"/>
    <mergeCell ref="H43:I43"/>
  </mergeCells>
  <pageMargins left="0.78740157480314965" right="0.59055118110236227" top="0.39370078740157483" bottom="0.39370078740157483" header="0" footer="0"/>
  <pageSetup paperSize="9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2049" r:id="rId4">
          <objectPr defaultSize="0" autoPict="0" r:id="rId5">
            <anchor moveWithCells="1">
              <from>
                <xdr:col>2</xdr:col>
                <xdr:colOff>47625</xdr:colOff>
                <xdr:row>23</xdr:row>
                <xdr:rowOff>161925</xdr:rowOff>
              </from>
              <to>
                <xdr:col>5</xdr:col>
                <xdr:colOff>466725</xdr:colOff>
                <xdr:row>36</xdr:row>
                <xdr:rowOff>19050</xdr:rowOff>
              </to>
            </anchor>
          </objectPr>
        </oleObject>
      </mc:Choice>
      <mc:Fallback>
        <oleObject progId="Paint.Picture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1"/>
  <dimension ref="A1:J44"/>
  <sheetViews>
    <sheetView topLeftCell="A25" workbookViewId="0">
      <selection activeCell="L2" sqref="L2"/>
    </sheetView>
  </sheetViews>
  <sheetFormatPr defaultRowHeight="12.75" x14ac:dyDescent="0.2"/>
  <cols>
    <col min="2" max="2" width="6.7109375" customWidth="1"/>
    <col min="4" max="4" width="1.42578125" customWidth="1"/>
    <col min="6" max="6" width="9.7109375" bestFit="1" customWidth="1"/>
    <col min="10" max="10" width="4.42578125" customWidth="1"/>
  </cols>
  <sheetData>
    <row r="1" spans="1:10" ht="13.5" thickTop="1" x14ac:dyDescent="0.2">
      <c r="A1" s="8" t="s">
        <v>23</v>
      </c>
      <c r="B1" s="9"/>
      <c r="C1" s="10" t="s">
        <v>24</v>
      </c>
      <c r="E1" s="11" t="s">
        <v>54</v>
      </c>
      <c r="F1" s="12"/>
      <c r="G1" s="12"/>
      <c r="H1" s="12"/>
      <c r="I1" s="12"/>
      <c r="J1" s="9"/>
    </row>
    <row r="2" spans="1:10" ht="13.5" thickBot="1" x14ac:dyDescent="0.25">
      <c r="A2" s="5" t="s">
        <v>25</v>
      </c>
      <c r="B2" s="13">
        <f>Beräkningsblad!C10</f>
        <v>400</v>
      </c>
      <c r="C2" s="14">
        <f>Beräkningsblad!C11</f>
        <v>4.04</v>
      </c>
      <c r="E2" s="6" t="s">
        <v>26</v>
      </c>
      <c r="F2" s="15"/>
      <c r="G2" s="15"/>
      <c r="H2" s="15"/>
      <c r="I2" s="15"/>
      <c r="J2" s="16"/>
    </row>
    <row r="3" spans="1:10" ht="14.25" thickTop="1" thickBot="1" x14ac:dyDescent="0.25">
      <c r="A3" s="5" t="s">
        <v>27</v>
      </c>
      <c r="B3" s="13">
        <f>Beräkningsblad!D10</f>
        <v>400</v>
      </c>
      <c r="C3" s="14">
        <f>Beräkningsblad!D11</f>
        <v>4.04</v>
      </c>
    </row>
    <row r="4" spans="1:10" ht="13.5" thickTop="1" x14ac:dyDescent="0.2">
      <c r="A4" s="5" t="s">
        <v>28</v>
      </c>
      <c r="B4" s="13">
        <f>Beräkningsblad!E10</f>
        <v>400</v>
      </c>
      <c r="C4" s="14">
        <f>Beräkningsblad!E11</f>
        <v>4.04</v>
      </c>
      <c r="E4" s="4" t="s">
        <v>29</v>
      </c>
      <c r="F4" s="12"/>
      <c r="G4" s="12"/>
      <c r="H4" s="17">
        <f>Beräkningsblad!C10*Beräkningsblad!C11*Beräkningsblad!G10/1000</f>
        <v>1.1311999999999998</v>
      </c>
      <c r="I4" s="12"/>
      <c r="J4" s="18">
        <f>IF(Beräkningsblad!C10&gt;0,IF(Beräkningsblad!C11&gt;0,IF(Beräkningsblad!G10&gt;0,(Beräkningsblad!C10*Beräkningsblad!C11*Beräkningsblad!G10/1000),""),""),"")</f>
        <v>1.1311999999999998</v>
      </c>
    </row>
    <row r="5" spans="1:10" ht="13.5" thickBot="1" x14ac:dyDescent="0.25">
      <c r="A5" s="5" t="s">
        <v>30</v>
      </c>
      <c r="B5" s="13">
        <f>SUM(B2:B4)</f>
        <v>1200</v>
      </c>
      <c r="C5" s="14">
        <f>SUM(C2:C4)</f>
        <v>12.120000000000001</v>
      </c>
      <c r="E5" s="6" t="s">
        <v>31</v>
      </c>
      <c r="F5" s="15"/>
      <c r="G5" s="15"/>
      <c r="H5" s="19">
        <f>B6*C6*Beräkningsblad!G10*SQRT(3)/1000</f>
        <v>1.9592958735219135</v>
      </c>
      <c r="I5" s="15"/>
      <c r="J5" s="20">
        <f>IF(Beräkningsblad!C10&gt;0,IF(Beräkningsblad!D10&gt;0,IF(Beräkningsblad!E10&gt;0,IF(Beräkningsblad!C11&gt;0,IF(Beräkningsblad!D11&gt;0,IF(Beräkningsblad!E11&gt;0,IF(Beräkningsblad!G10&gt;0,(B6*C6*Beräkningsblad!G10*SQRT(3)/1000),""),""),""),""),""),""),"")</f>
        <v>1.9592958735219135</v>
      </c>
    </row>
    <row r="6" spans="1:10" ht="14.25" thickTop="1" thickBot="1" x14ac:dyDescent="0.25">
      <c r="A6" s="6" t="s">
        <v>32</v>
      </c>
      <c r="B6" s="16">
        <f>B5/3</f>
        <v>400</v>
      </c>
      <c r="C6" s="21">
        <f>C5/3</f>
        <v>4.04</v>
      </c>
    </row>
    <row r="7" spans="1:10" ht="14.25" thickTop="1" thickBot="1" x14ac:dyDescent="0.25">
      <c r="E7" s="22" t="s">
        <v>132</v>
      </c>
      <c r="F7" s="23"/>
      <c r="H7" s="22" t="s">
        <v>133</v>
      </c>
      <c r="I7" s="24"/>
      <c r="J7" s="23"/>
    </row>
    <row r="8" spans="1:10" ht="14.25" thickTop="1" thickBot="1" x14ac:dyDescent="0.25">
      <c r="A8" s="7" t="s">
        <v>129</v>
      </c>
      <c r="B8" s="24"/>
      <c r="C8" s="24"/>
      <c r="D8" s="23"/>
    </row>
    <row r="9" spans="1:10" ht="14.25" thickTop="1" thickBot="1" x14ac:dyDescent="0.25">
      <c r="E9" s="22" t="s">
        <v>130</v>
      </c>
      <c r="F9" s="23"/>
      <c r="G9" s="3"/>
      <c r="H9" s="22" t="s">
        <v>131</v>
      </c>
      <c r="I9" s="23"/>
    </row>
    <row r="10" spans="1:10" ht="14.25" thickTop="1" thickBot="1" x14ac:dyDescent="0.25">
      <c r="A10" s="25" t="str">
        <f>("")</f>
        <v/>
      </c>
      <c r="B10" t="s">
        <v>58</v>
      </c>
    </row>
    <row r="11" spans="1:10" ht="14.25" thickTop="1" thickBot="1" x14ac:dyDescent="0.25">
      <c r="A11">
        <v>1</v>
      </c>
      <c r="E11" s="22" t="s">
        <v>134</v>
      </c>
      <c r="F11" s="24"/>
      <c r="G11" s="14"/>
      <c r="H11" s="25" t="s">
        <v>135</v>
      </c>
    </row>
    <row r="12" spans="1:10" ht="14.25" thickTop="1" thickBot="1" x14ac:dyDescent="0.25">
      <c r="A12">
        <v>0</v>
      </c>
    </row>
    <row r="13" spans="1:10" ht="14.25" thickTop="1" thickBot="1" x14ac:dyDescent="0.25">
      <c r="A13" s="22" t="s">
        <v>101</v>
      </c>
      <c r="B13" s="24"/>
      <c r="C13" s="23"/>
      <c r="E13" s="22" t="s">
        <v>61</v>
      </c>
      <c r="F13" s="24"/>
      <c r="G13" s="23"/>
    </row>
    <row r="14" spans="1:10" ht="14.25" thickTop="1" thickBot="1" x14ac:dyDescent="0.25">
      <c r="H14" s="22" t="s">
        <v>136</v>
      </c>
      <c r="I14" s="23"/>
    </row>
    <row r="15" spans="1:10" ht="14.25" thickTop="1" thickBot="1" x14ac:dyDescent="0.25">
      <c r="A15" s="163">
        <f>Beräkningsblad!E23</f>
        <v>0</v>
      </c>
      <c r="B15" t="s">
        <v>160</v>
      </c>
      <c r="E15" s="22" t="s">
        <v>62</v>
      </c>
      <c r="F15" s="23"/>
      <c r="H15" s="22" t="s">
        <v>141</v>
      </c>
      <c r="I15" s="23"/>
    </row>
    <row r="16" spans="1:10" ht="14.25" thickTop="1" thickBot="1" x14ac:dyDescent="0.25">
      <c r="A16" s="164">
        <f>Beräkningsblad!E27</f>
        <v>364.74314285714286</v>
      </c>
      <c r="B16" t="s">
        <v>161</v>
      </c>
      <c r="H16" s="22" t="s">
        <v>159</v>
      </c>
      <c r="I16" s="23"/>
    </row>
    <row r="17" spans="1:9" ht="13.5" thickTop="1" x14ac:dyDescent="0.2">
      <c r="A17" s="164">
        <f>Beräkningsblad!E31</f>
        <v>0</v>
      </c>
      <c r="B17" t="s">
        <v>164</v>
      </c>
      <c r="E17" s="4" t="s">
        <v>113</v>
      </c>
      <c r="F17" s="12" t="s">
        <v>120</v>
      </c>
      <c r="G17" s="12"/>
      <c r="H17" s="12"/>
      <c r="I17" s="9"/>
    </row>
    <row r="18" spans="1:9" ht="13.5" thickBot="1" x14ac:dyDescent="0.25">
      <c r="A18" s="164">
        <f>SUM(A16,A15)</f>
        <v>364.74314285714286</v>
      </c>
      <c r="B18" t="s">
        <v>30</v>
      </c>
      <c r="E18" s="5"/>
      <c r="F18" s="3"/>
      <c r="G18" s="3"/>
      <c r="H18" s="3"/>
      <c r="I18" s="13"/>
    </row>
    <row r="19" spans="1:9" ht="14.25" thickTop="1" thickBot="1" x14ac:dyDescent="0.25">
      <c r="A19" s="14">
        <f>Beräkningsblad!E47</f>
        <v>1.3898810062391711E-2</v>
      </c>
      <c r="B19" t="s">
        <v>162</v>
      </c>
      <c r="E19" s="102" t="s">
        <v>74</v>
      </c>
      <c r="F19" s="25">
        <f>Beräkningsblad!E14</f>
        <v>4.24</v>
      </c>
      <c r="G19" s="3" t="s">
        <v>117</v>
      </c>
      <c r="H19" s="3"/>
      <c r="I19" s="13"/>
    </row>
    <row r="20" spans="1:9" ht="14.25" thickTop="1" thickBot="1" x14ac:dyDescent="0.25">
      <c r="A20" s="165">
        <f>A19*A18</f>
        <v>5.0694956641312343</v>
      </c>
      <c r="B20" t="s">
        <v>163</v>
      </c>
      <c r="E20" s="98" t="s">
        <v>114</v>
      </c>
      <c r="F20" s="25">
        <f>Beräkningsblad!E15</f>
        <v>-4</v>
      </c>
      <c r="G20" s="101" t="s">
        <v>116</v>
      </c>
      <c r="H20" s="3"/>
      <c r="I20" s="13"/>
    </row>
    <row r="21" spans="1:9" ht="14.25" thickTop="1" thickBot="1" x14ac:dyDescent="0.25">
      <c r="E21" s="5" t="s">
        <v>106</v>
      </c>
      <c r="F21" s="36">
        <f>VLOOKUP(F19,Blad3!A6:J121,10)</f>
        <v>1</v>
      </c>
      <c r="G21" s="3"/>
      <c r="H21" s="3"/>
      <c r="I21" s="13"/>
    </row>
    <row r="22" spans="1:9" ht="14.25" thickTop="1" thickBot="1" x14ac:dyDescent="0.25">
      <c r="A22" s="25" t="s">
        <v>168</v>
      </c>
      <c r="E22" s="98" t="s">
        <v>51</v>
      </c>
      <c r="F22" s="38">
        <f>VLOOKUP(F19,Blad3!A6:M121,13)</f>
        <v>7.1538461538461537E-2</v>
      </c>
      <c r="G22" s="3"/>
      <c r="H22" s="3"/>
      <c r="I22" s="13"/>
    </row>
    <row r="23" spans="1:9" ht="14.25" thickTop="1" thickBot="1" x14ac:dyDescent="0.25">
      <c r="E23" s="98" t="s">
        <v>108</v>
      </c>
      <c r="F23" s="25">
        <f>Beräkningsblad!E45-Beräkningsblad!E15</f>
        <v>10.9</v>
      </c>
      <c r="G23" s="101" t="s">
        <v>9</v>
      </c>
      <c r="H23" s="29" t="s">
        <v>57</v>
      </c>
      <c r="I23" s="106">
        <f>Beräkningsblad!J45</f>
        <v>591.28566935483866</v>
      </c>
    </row>
    <row r="24" spans="1:9" ht="14.25" thickTop="1" thickBot="1" x14ac:dyDescent="0.25">
      <c r="A24" s="86">
        <f>Beräkningsblad!E51</f>
        <v>0</v>
      </c>
      <c r="B24" t="s">
        <v>55</v>
      </c>
      <c r="E24" s="100" t="s">
        <v>115</v>
      </c>
      <c r="F24" s="3"/>
      <c r="G24" s="99">
        <f>F21+(F23*F22)</f>
        <v>1.7797692307692308</v>
      </c>
      <c r="H24" s="3"/>
      <c r="I24" s="13"/>
    </row>
    <row r="25" spans="1:9" ht="14.25" thickTop="1" thickBot="1" x14ac:dyDescent="0.25">
      <c r="A25" s="14">
        <f>Beräkningsblad!E52</f>
        <v>5.0694956641312343</v>
      </c>
      <c r="B25" t="s">
        <v>169</v>
      </c>
      <c r="E25" s="6"/>
      <c r="F25" s="15"/>
      <c r="G25" s="15"/>
      <c r="H25" s="15"/>
      <c r="I25" s="16"/>
    </row>
    <row r="26" spans="1:9" ht="14.25" thickTop="1" thickBot="1" x14ac:dyDescent="0.25">
      <c r="A26" s="14">
        <f>Beräkningsblad!E53</f>
        <v>0</v>
      </c>
      <c r="B26" t="s">
        <v>170</v>
      </c>
    </row>
    <row r="27" spans="1:9" ht="14.25" thickTop="1" thickBot="1" x14ac:dyDescent="0.25">
      <c r="A27" s="21">
        <f>SUM(A24:A26)</f>
        <v>5.0694956641312343</v>
      </c>
      <c r="B27" t="s">
        <v>30</v>
      </c>
      <c r="E27" s="4" t="s">
        <v>106</v>
      </c>
      <c r="F27" s="12"/>
      <c r="G27" s="12"/>
      <c r="H27" s="12"/>
      <c r="I27" s="9"/>
    </row>
    <row r="28" spans="1:9" ht="14.25" thickTop="1" thickBot="1" x14ac:dyDescent="0.25">
      <c r="E28" s="5"/>
      <c r="F28" s="3"/>
      <c r="G28" s="3"/>
      <c r="H28" s="3"/>
      <c r="I28" s="13"/>
    </row>
    <row r="29" spans="1:9" ht="14.25" thickTop="1" thickBot="1" x14ac:dyDescent="0.25">
      <c r="E29" s="102" t="s">
        <v>71</v>
      </c>
      <c r="F29" s="25">
        <f>Beräkningsblad!E17</f>
        <v>19</v>
      </c>
      <c r="G29" s="3" t="s">
        <v>117</v>
      </c>
      <c r="H29" s="3"/>
      <c r="I29" s="13"/>
    </row>
    <row r="30" spans="1:9" ht="14.25" thickTop="1" thickBot="1" x14ac:dyDescent="0.25">
      <c r="E30" s="102" t="s">
        <v>126</v>
      </c>
      <c r="F30" s="25">
        <f>Beräkningsblad!E18</f>
        <v>50</v>
      </c>
      <c r="G30" s="3" t="s">
        <v>65</v>
      </c>
      <c r="H30" s="3"/>
      <c r="I30" s="13"/>
    </row>
    <row r="31" spans="1:9" ht="14.25" thickTop="1" thickBot="1" x14ac:dyDescent="0.25">
      <c r="E31" s="103" t="s">
        <v>106</v>
      </c>
      <c r="F31" s="36">
        <f>VLOOKUP(F29,Blad3!A6:J121,10)</f>
        <v>0.98</v>
      </c>
      <c r="G31" s="3"/>
      <c r="H31" s="3" t="s">
        <v>57</v>
      </c>
      <c r="I31" s="39">
        <f>Beräkningsblad!J18</f>
        <v>622.17999999999995</v>
      </c>
    </row>
    <row r="32" spans="1:9" ht="14.25" thickTop="1" thickBot="1" x14ac:dyDescent="0.25">
      <c r="E32" s="103" t="s">
        <v>55</v>
      </c>
      <c r="F32" s="25">
        <f>Beräkningsblad!E20</f>
        <v>76</v>
      </c>
      <c r="G32" s="101" t="s">
        <v>116</v>
      </c>
      <c r="H32" s="3" t="s">
        <v>57</v>
      </c>
      <c r="I32" s="106">
        <f>Beräkningsblad!J20</f>
        <v>684.51314285714284</v>
      </c>
    </row>
    <row r="33" spans="5:9" ht="14.25" thickTop="1" thickBot="1" x14ac:dyDescent="0.25">
      <c r="E33" s="104" t="s">
        <v>108</v>
      </c>
      <c r="F33" s="25">
        <f>F32-Beräkningsblad!E18</f>
        <v>26</v>
      </c>
      <c r="G33" s="101" t="s">
        <v>9</v>
      </c>
      <c r="H33" s="3" t="s">
        <v>122</v>
      </c>
      <c r="I33" s="106">
        <f>I32-I31</f>
        <v>62.333142857142889</v>
      </c>
    </row>
    <row r="34" spans="5:9" ht="14.25" thickTop="1" thickBot="1" x14ac:dyDescent="0.25">
      <c r="E34" s="98" t="s">
        <v>118</v>
      </c>
      <c r="F34" s="25">
        <f>VLOOKUP(F29,Blad3!A6:M121,13)</f>
        <v>6.2333333333333338E-2</v>
      </c>
      <c r="G34" s="108"/>
      <c r="H34" s="3"/>
      <c r="I34" s="13"/>
    </row>
    <row r="35" spans="5:9" ht="14.25" thickTop="1" thickBot="1" x14ac:dyDescent="0.25">
      <c r="E35" s="100" t="s">
        <v>115</v>
      </c>
      <c r="F35" s="3"/>
      <c r="G35" s="110">
        <f>F31+(F34*F33)</f>
        <v>2.6006666666666667</v>
      </c>
      <c r="H35" s="3"/>
      <c r="I35" s="13"/>
    </row>
    <row r="36" spans="5:9" ht="14.25" thickTop="1" thickBot="1" x14ac:dyDescent="0.25">
      <c r="E36" s="100" t="s">
        <v>123</v>
      </c>
      <c r="F36" s="3"/>
      <c r="G36" s="110">
        <f>G35-F31</f>
        <v>1.6206666666666667</v>
      </c>
      <c r="H36" s="3"/>
      <c r="I36" s="112"/>
    </row>
    <row r="37" spans="5:9" ht="14.25" thickTop="1" thickBot="1" x14ac:dyDescent="0.25">
      <c r="E37" s="100" t="s">
        <v>124</v>
      </c>
      <c r="F37" s="3"/>
      <c r="G37" s="110">
        <f>G24</f>
        <v>1.7797692307692308</v>
      </c>
      <c r="H37" s="3"/>
      <c r="I37" s="111">
        <f>I31+((G37-F31)/G36*I33)</f>
        <v>652.94026103308454</v>
      </c>
    </row>
    <row r="38" spans="5:9" ht="14.25" thickTop="1" thickBot="1" x14ac:dyDescent="0.25">
      <c r="E38" s="107" t="s">
        <v>125</v>
      </c>
      <c r="F38" s="15"/>
      <c r="G38" s="114">
        <f>F30+((G24-F31)*F33/G36)</f>
        <v>62.83052241875771</v>
      </c>
      <c r="H38" s="15"/>
      <c r="I38" s="16"/>
    </row>
    <row r="39" spans="5:9" ht="14.25" thickTop="1" thickBot="1" x14ac:dyDescent="0.25">
      <c r="E39" s="15"/>
      <c r="F39" s="15"/>
      <c r="G39" s="15"/>
      <c r="H39" s="15"/>
    </row>
    <row r="40" spans="5:9" ht="13.5" thickTop="1" x14ac:dyDescent="0.2">
      <c r="E40" s="4" t="s">
        <v>119</v>
      </c>
      <c r="F40" s="12"/>
      <c r="G40" s="12"/>
      <c r="H40" s="9"/>
    </row>
    <row r="41" spans="5:9" ht="13.5" thickBot="1" x14ac:dyDescent="0.25">
      <c r="E41" s="5"/>
      <c r="F41" s="29" t="s">
        <v>57</v>
      </c>
      <c r="G41" s="29"/>
      <c r="H41" s="13"/>
    </row>
    <row r="42" spans="5:9" ht="14.25" thickTop="1" thickBot="1" x14ac:dyDescent="0.25">
      <c r="E42" s="105" t="s">
        <v>70</v>
      </c>
      <c r="F42" s="106">
        <f>(I37-I23)/(I32-I23)</f>
        <v>0.66133500525166589</v>
      </c>
      <c r="G42" s="113"/>
      <c r="H42" s="13"/>
    </row>
    <row r="43" spans="5:9" ht="14.25" thickTop="1" thickBot="1" x14ac:dyDescent="0.25">
      <c r="E43" s="6"/>
      <c r="F43" s="15"/>
      <c r="G43" s="15"/>
      <c r="H43" s="16"/>
    </row>
    <row r="44" spans="5:9" ht="13.5" thickTop="1" x14ac:dyDescent="0.2"/>
  </sheetData>
  <sheetProtection password="CD80" sheet="1" objects="1" scenarios="1"/>
  <printOptions headings="1" gridLines="1"/>
  <pageMargins left="0.78740157480314965" right="0.78740157480314965" top="0.98425196850393704" bottom="0.98425196850393704" header="0.51181102362204722" footer="0.51181102362204722"/>
  <pageSetup paperSize="9" orientation="portrait" horizontalDpi="300" verticalDpi="0" copies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:N362"/>
  <sheetViews>
    <sheetView workbookViewId="0">
      <pane ySplit="5" topLeftCell="A6" activePane="bottomLeft" state="frozen"/>
      <selection pane="bottomLeft" activeCell="O14" sqref="O14"/>
    </sheetView>
  </sheetViews>
  <sheetFormatPr defaultRowHeight="12.75" x14ac:dyDescent="0.2"/>
  <cols>
    <col min="4" max="4" width="7" style="87" customWidth="1"/>
    <col min="5" max="5" width="7.42578125" style="43" customWidth="1"/>
    <col min="11" max="11" width="9.140625" style="94"/>
  </cols>
  <sheetData>
    <row r="1" spans="1:14" ht="14.25" thickTop="1" thickBot="1" x14ac:dyDescent="0.25">
      <c r="A1" s="30" t="s">
        <v>204</v>
      </c>
      <c r="B1" s="27" t="s">
        <v>33</v>
      </c>
      <c r="C1" s="37"/>
      <c r="D1" s="213" t="s">
        <v>34</v>
      </c>
      <c r="E1" s="36"/>
      <c r="F1" s="36" t="s">
        <v>35</v>
      </c>
      <c r="G1" s="36"/>
      <c r="H1" s="28"/>
      <c r="I1" s="40" t="s">
        <v>56</v>
      </c>
      <c r="J1" s="45"/>
      <c r="K1" s="92" t="s">
        <v>111</v>
      </c>
      <c r="L1" s="28"/>
      <c r="M1" s="28"/>
      <c r="N1" s="3"/>
    </row>
    <row r="2" spans="1:14" ht="14.25" thickTop="1" thickBot="1" x14ac:dyDescent="0.25">
      <c r="A2" s="80" t="s">
        <v>215</v>
      </c>
      <c r="B2" s="36" t="s">
        <v>36</v>
      </c>
      <c r="C2" s="36" t="s">
        <v>37</v>
      </c>
      <c r="D2" s="213" t="s">
        <v>36</v>
      </c>
      <c r="E2" s="36" t="s">
        <v>37</v>
      </c>
      <c r="F2" s="36" t="s">
        <v>38</v>
      </c>
      <c r="G2" s="36" t="s">
        <v>37</v>
      </c>
      <c r="H2" s="29">
        <v>120</v>
      </c>
      <c r="I2" s="42" t="s">
        <v>57</v>
      </c>
      <c r="J2" s="92" t="s">
        <v>121</v>
      </c>
      <c r="K2" s="90" t="s">
        <v>112</v>
      </c>
      <c r="L2" s="29"/>
      <c r="M2" s="29"/>
      <c r="N2" s="29"/>
    </row>
    <row r="3" spans="1:14" ht="14.25" thickTop="1" thickBot="1" x14ac:dyDescent="0.25">
      <c r="A3" s="34" t="s">
        <v>39</v>
      </c>
      <c r="B3" s="32" t="s">
        <v>40</v>
      </c>
      <c r="C3" s="31" t="s">
        <v>41</v>
      </c>
      <c r="D3" s="178" t="s">
        <v>42</v>
      </c>
      <c r="E3" s="31" t="s">
        <v>43</v>
      </c>
      <c r="F3" s="31" t="s">
        <v>44</v>
      </c>
      <c r="G3" s="31" t="s">
        <v>44</v>
      </c>
      <c r="H3" s="29"/>
      <c r="I3" s="40" t="s">
        <v>52</v>
      </c>
      <c r="J3" s="91" t="s">
        <v>107</v>
      </c>
      <c r="K3" s="93" t="s">
        <v>108</v>
      </c>
      <c r="L3" s="29"/>
      <c r="M3" s="29"/>
      <c r="N3" s="29"/>
    </row>
    <row r="4" spans="1:14" ht="14.25" thickTop="1" thickBot="1" x14ac:dyDescent="0.25">
      <c r="A4" s="34" t="s">
        <v>45</v>
      </c>
      <c r="B4" s="32" t="s">
        <v>46</v>
      </c>
      <c r="C4" s="32" t="s">
        <v>46</v>
      </c>
      <c r="D4" s="34" t="s">
        <v>47</v>
      </c>
      <c r="E4" s="32" t="s">
        <v>47</v>
      </c>
      <c r="F4" s="32" t="s">
        <v>48</v>
      </c>
      <c r="G4" s="32" t="s">
        <v>48</v>
      </c>
      <c r="H4" s="89" t="s">
        <v>51</v>
      </c>
      <c r="I4" s="41" t="s">
        <v>53</v>
      </c>
      <c r="J4" s="89"/>
      <c r="K4" s="91" t="s">
        <v>109</v>
      </c>
      <c r="L4" s="96" t="s">
        <v>108</v>
      </c>
      <c r="M4" s="92" t="s">
        <v>51</v>
      </c>
      <c r="N4" s="3"/>
    </row>
    <row r="5" spans="1:14" ht="14.25" thickTop="1" thickBot="1" x14ac:dyDescent="0.25">
      <c r="A5" s="35" t="s">
        <v>49</v>
      </c>
      <c r="B5" s="33"/>
      <c r="C5" s="33"/>
      <c r="D5" s="35" t="s">
        <v>50</v>
      </c>
      <c r="E5" s="33"/>
      <c r="F5" s="33"/>
      <c r="G5" s="33"/>
      <c r="H5" s="39" t="s">
        <v>55</v>
      </c>
      <c r="I5" s="42" t="s">
        <v>216</v>
      </c>
      <c r="J5" s="39" t="s">
        <v>106</v>
      </c>
      <c r="K5" s="89" t="s">
        <v>110</v>
      </c>
      <c r="L5" s="42" t="s">
        <v>106</v>
      </c>
      <c r="M5" s="42" t="s">
        <v>106</v>
      </c>
      <c r="N5" s="3"/>
    </row>
    <row r="6" spans="1:14" ht="13.5" thickTop="1" x14ac:dyDescent="0.2">
      <c r="A6" s="43">
        <v>0.71</v>
      </c>
      <c r="B6">
        <v>-50</v>
      </c>
      <c r="C6">
        <v>-50</v>
      </c>
      <c r="F6" s="43">
        <v>84.49</v>
      </c>
      <c r="G6" s="43">
        <v>518.14</v>
      </c>
      <c r="H6" s="87">
        <f>((I6-G6)/($H$2-C6))</f>
        <v>1.7756470588235296</v>
      </c>
      <c r="I6" s="43">
        <v>820</v>
      </c>
      <c r="J6" s="43">
        <v>1</v>
      </c>
      <c r="K6" s="95">
        <f>(C6+30)</f>
        <v>-20</v>
      </c>
      <c r="L6" s="43">
        <v>3.5</v>
      </c>
      <c r="M6" s="177">
        <f>(L6-J6)/30</f>
        <v>8.3333333333333329E-2</v>
      </c>
    </row>
    <row r="7" spans="1:14" x14ac:dyDescent="0.2">
      <c r="A7" s="43">
        <v>0.74</v>
      </c>
      <c r="B7">
        <v>-49</v>
      </c>
      <c r="C7">
        <v>-49</v>
      </c>
      <c r="F7" s="43">
        <v>86.63</v>
      </c>
      <c r="G7" s="43">
        <v>519.26</v>
      </c>
      <c r="H7" s="87">
        <f t="shared" ref="H7:H70" si="0">((I7-G7)/($H$2-C7))</f>
        <v>1.779526627218935</v>
      </c>
      <c r="I7" s="43">
        <v>820</v>
      </c>
      <c r="J7" s="43">
        <v>1</v>
      </c>
      <c r="K7" s="95">
        <f t="shared" ref="K7:K70" si="1">(C7+30)</f>
        <v>-19</v>
      </c>
      <c r="L7" s="43">
        <v>3.4923076923076923</v>
      </c>
      <c r="M7" s="177">
        <f t="shared" ref="M7:M70" si="2">(L7-J7)/30</f>
        <v>8.3076923076923076E-2</v>
      </c>
    </row>
    <row r="8" spans="1:14" x14ac:dyDescent="0.2">
      <c r="A8" s="43">
        <v>0.77</v>
      </c>
      <c r="B8">
        <v>-48</v>
      </c>
      <c r="C8">
        <v>-48</v>
      </c>
      <c r="F8" s="43">
        <v>88.78</v>
      </c>
      <c r="G8" s="43">
        <v>520.39</v>
      </c>
      <c r="H8" s="87">
        <f t="shared" si="0"/>
        <v>1.7833928571428572</v>
      </c>
      <c r="I8" s="43">
        <v>820</v>
      </c>
      <c r="J8" s="43">
        <v>1</v>
      </c>
      <c r="K8" s="95">
        <f t="shared" si="1"/>
        <v>-18</v>
      </c>
      <c r="L8" s="43">
        <v>3.4846153846153847</v>
      </c>
      <c r="M8" s="177">
        <f t="shared" si="2"/>
        <v>8.2820512820512823E-2</v>
      </c>
    </row>
    <row r="9" spans="1:14" x14ac:dyDescent="0.2">
      <c r="A9" s="43">
        <v>0.81</v>
      </c>
      <c r="B9">
        <v>-47</v>
      </c>
      <c r="C9">
        <v>-47</v>
      </c>
      <c r="F9" s="43">
        <v>90.94</v>
      </c>
      <c r="G9" s="43">
        <v>521.52</v>
      </c>
      <c r="H9" s="87">
        <f t="shared" si="0"/>
        <v>1.7873053892215569</v>
      </c>
      <c r="I9" s="43">
        <v>820</v>
      </c>
      <c r="J9" s="43">
        <v>1</v>
      </c>
      <c r="K9" s="95">
        <f t="shared" si="1"/>
        <v>-17</v>
      </c>
      <c r="L9" s="43">
        <v>3.476923076923077</v>
      </c>
      <c r="M9" s="177">
        <f t="shared" si="2"/>
        <v>8.2564102564102571E-2</v>
      </c>
    </row>
    <row r="10" spans="1:14" x14ac:dyDescent="0.2">
      <c r="A10" s="43">
        <v>0.85</v>
      </c>
      <c r="B10">
        <v>-46</v>
      </c>
      <c r="C10">
        <v>-46</v>
      </c>
      <c r="F10" s="43">
        <v>93.1</v>
      </c>
      <c r="G10" s="43">
        <v>522.65</v>
      </c>
      <c r="H10" s="87">
        <f t="shared" si="0"/>
        <v>1.7912650602409641</v>
      </c>
      <c r="I10" s="43">
        <v>820</v>
      </c>
      <c r="J10" s="43">
        <v>1</v>
      </c>
      <c r="K10" s="95">
        <f t="shared" si="1"/>
        <v>-16</v>
      </c>
      <c r="L10" s="43">
        <v>3.4692307692307693</v>
      </c>
      <c r="M10" s="177">
        <f t="shared" si="2"/>
        <v>8.2307692307692318E-2</v>
      </c>
    </row>
    <row r="11" spans="1:14" x14ac:dyDescent="0.2">
      <c r="A11" s="43">
        <v>0.89</v>
      </c>
      <c r="B11">
        <v>-45</v>
      </c>
      <c r="C11">
        <v>-45</v>
      </c>
      <c r="F11" s="43">
        <v>95.27</v>
      </c>
      <c r="G11" s="43">
        <v>523.77</v>
      </c>
      <c r="H11" s="87">
        <f t="shared" si="0"/>
        <v>1.7953333333333334</v>
      </c>
      <c r="I11" s="43">
        <v>820</v>
      </c>
      <c r="J11" s="43">
        <v>1</v>
      </c>
      <c r="K11" s="95">
        <f t="shared" si="1"/>
        <v>-15</v>
      </c>
      <c r="L11" s="43">
        <v>3.4615384615384617</v>
      </c>
      <c r="M11" s="177">
        <f t="shared" si="2"/>
        <v>8.2051282051282051E-2</v>
      </c>
    </row>
    <row r="12" spans="1:14" x14ac:dyDescent="0.2">
      <c r="A12" s="43">
        <v>0.93</v>
      </c>
      <c r="B12">
        <v>-44</v>
      </c>
      <c r="C12">
        <v>-44</v>
      </c>
      <c r="F12" s="43">
        <v>97.5</v>
      </c>
      <c r="G12" s="43">
        <v>524.91</v>
      </c>
      <c r="H12" s="87">
        <f t="shared" si="0"/>
        <v>1.7993292682926831</v>
      </c>
      <c r="I12" s="43">
        <v>820</v>
      </c>
      <c r="J12" s="43">
        <v>1</v>
      </c>
      <c r="K12" s="95">
        <f t="shared" si="1"/>
        <v>-14</v>
      </c>
      <c r="L12" s="43">
        <v>3.453846153846154</v>
      </c>
      <c r="M12" s="177">
        <f t="shared" si="2"/>
        <v>8.1794871794871798E-2</v>
      </c>
    </row>
    <row r="13" spans="1:14" x14ac:dyDescent="0.2">
      <c r="A13" s="43">
        <v>0.97</v>
      </c>
      <c r="B13">
        <v>-43</v>
      </c>
      <c r="C13">
        <v>-43</v>
      </c>
      <c r="F13" s="43">
        <v>99.63</v>
      </c>
      <c r="G13" s="43">
        <v>526.04</v>
      </c>
      <c r="H13" s="87">
        <f t="shared" si="0"/>
        <v>1.803435582822086</v>
      </c>
      <c r="I13" s="43">
        <v>820</v>
      </c>
      <c r="J13" s="43">
        <v>1</v>
      </c>
      <c r="K13" s="95">
        <f t="shared" si="1"/>
        <v>-13</v>
      </c>
      <c r="L13" s="43">
        <v>3.4461538461538463</v>
      </c>
      <c r="M13" s="177">
        <f t="shared" si="2"/>
        <v>8.1538461538461546E-2</v>
      </c>
    </row>
    <row r="14" spans="1:14" x14ac:dyDescent="0.2">
      <c r="A14" s="43">
        <v>1.02</v>
      </c>
      <c r="B14">
        <v>-42</v>
      </c>
      <c r="C14">
        <v>-42</v>
      </c>
      <c r="F14" s="43">
        <v>101.82</v>
      </c>
      <c r="G14" s="43">
        <v>527.16999999999996</v>
      </c>
      <c r="H14" s="87">
        <f t="shared" si="0"/>
        <v>1.8075925925925929</v>
      </c>
      <c r="I14" s="43">
        <v>820</v>
      </c>
      <c r="J14" s="43">
        <v>1</v>
      </c>
      <c r="K14" s="95">
        <f t="shared" si="1"/>
        <v>-12</v>
      </c>
      <c r="L14" s="43">
        <v>3.4384615384615387</v>
      </c>
      <c r="M14" s="177">
        <f t="shared" si="2"/>
        <v>8.1282051282051293E-2</v>
      </c>
    </row>
    <row r="15" spans="1:14" x14ac:dyDescent="0.2">
      <c r="A15" s="43">
        <v>1.06</v>
      </c>
      <c r="B15">
        <v>-41</v>
      </c>
      <c r="C15">
        <v>-41</v>
      </c>
      <c r="F15" s="43">
        <v>104.01</v>
      </c>
      <c r="G15" s="43">
        <v>528.29999999999995</v>
      </c>
      <c r="H15" s="87">
        <f t="shared" si="0"/>
        <v>1.8099744245524303</v>
      </c>
      <c r="I15" s="43">
        <v>819.70588235294122</v>
      </c>
      <c r="J15" s="43">
        <v>1</v>
      </c>
      <c r="K15" s="95">
        <f t="shared" si="1"/>
        <v>-11</v>
      </c>
      <c r="L15" s="43">
        <v>3.430769230769231</v>
      </c>
      <c r="M15" s="177">
        <f t="shared" si="2"/>
        <v>8.102564102564104E-2</v>
      </c>
    </row>
    <row r="16" spans="1:14" x14ac:dyDescent="0.2">
      <c r="A16" s="43">
        <v>1.1100000000000001</v>
      </c>
      <c r="B16">
        <v>-40</v>
      </c>
      <c r="C16">
        <v>-40</v>
      </c>
      <c r="F16" s="43">
        <v>106.21</v>
      </c>
      <c r="G16" s="43">
        <v>529.44000000000005</v>
      </c>
      <c r="H16" s="87">
        <f t="shared" si="0"/>
        <v>1.8123235294117641</v>
      </c>
      <c r="I16" s="43">
        <v>819.41176470588232</v>
      </c>
      <c r="J16" s="43">
        <v>1</v>
      </c>
      <c r="K16" s="95">
        <f t="shared" si="1"/>
        <v>-10</v>
      </c>
      <c r="L16" s="43">
        <v>3.4230769230769229</v>
      </c>
      <c r="M16" s="177">
        <f t="shared" si="2"/>
        <v>8.076923076923076E-2</v>
      </c>
    </row>
    <row r="17" spans="1:13" x14ac:dyDescent="0.2">
      <c r="A17" s="43">
        <v>1.1599999999999999</v>
      </c>
      <c r="B17">
        <v>-39</v>
      </c>
      <c r="C17">
        <v>-39</v>
      </c>
      <c r="F17" s="43">
        <v>108.42</v>
      </c>
      <c r="G17" s="43">
        <v>530.57000000000005</v>
      </c>
      <c r="H17" s="87">
        <f t="shared" si="0"/>
        <v>1.8147650758416571</v>
      </c>
      <c r="I17" s="43">
        <v>819.11764705882354</v>
      </c>
      <c r="J17" s="43">
        <v>1</v>
      </c>
      <c r="K17" s="95">
        <f t="shared" si="1"/>
        <v>-9</v>
      </c>
      <c r="L17" s="43">
        <v>3.4153846153846152</v>
      </c>
      <c r="M17" s="177">
        <f t="shared" si="2"/>
        <v>8.0512820512820507E-2</v>
      </c>
    </row>
    <row r="18" spans="1:13" x14ac:dyDescent="0.2">
      <c r="A18" s="43">
        <v>1.21</v>
      </c>
      <c r="B18">
        <v>-38</v>
      </c>
      <c r="C18">
        <v>-38</v>
      </c>
      <c r="F18" s="43">
        <v>110.63</v>
      </c>
      <c r="G18" s="43">
        <v>531.71</v>
      </c>
      <c r="H18" s="87">
        <f t="shared" si="0"/>
        <v>1.817174236783321</v>
      </c>
      <c r="I18" s="43">
        <v>818.82352941176475</v>
      </c>
      <c r="J18" s="43">
        <v>1</v>
      </c>
      <c r="K18" s="95">
        <f t="shared" si="1"/>
        <v>-8</v>
      </c>
      <c r="L18" s="43">
        <v>3.4076923076923076</v>
      </c>
      <c r="M18" s="177">
        <f t="shared" si="2"/>
        <v>8.0256410256410254E-2</v>
      </c>
    </row>
    <row r="19" spans="1:13" x14ac:dyDescent="0.2">
      <c r="A19" s="43">
        <v>1.26</v>
      </c>
      <c r="B19">
        <v>-37</v>
      </c>
      <c r="C19">
        <v>-37</v>
      </c>
      <c r="F19" s="43">
        <v>112.86</v>
      </c>
      <c r="G19" s="43">
        <v>532.84</v>
      </c>
      <c r="H19" s="87">
        <f t="shared" si="0"/>
        <v>1.8196777819408014</v>
      </c>
      <c r="I19" s="43">
        <v>818.52941176470586</v>
      </c>
      <c r="J19" s="43">
        <v>1</v>
      </c>
      <c r="K19" s="95">
        <f t="shared" si="1"/>
        <v>-7</v>
      </c>
      <c r="L19" s="43">
        <v>3.4</v>
      </c>
      <c r="M19" s="177">
        <f t="shared" si="2"/>
        <v>0.08</v>
      </c>
    </row>
    <row r="20" spans="1:13" x14ac:dyDescent="0.2">
      <c r="A20" s="43">
        <v>1.32</v>
      </c>
      <c r="B20">
        <v>-36</v>
      </c>
      <c r="C20">
        <v>-36</v>
      </c>
      <c r="F20" s="43">
        <v>115.08</v>
      </c>
      <c r="G20" s="43">
        <v>533.98</v>
      </c>
      <c r="H20" s="87">
        <f t="shared" si="0"/>
        <v>1.8221493212669684</v>
      </c>
      <c r="I20" s="43">
        <v>818.23529411764707</v>
      </c>
      <c r="J20" s="43">
        <v>1</v>
      </c>
      <c r="K20" s="95">
        <f t="shared" si="1"/>
        <v>-6</v>
      </c>
      <c r="L20" s="43">
        <v>3.3923076923076922</v>
      </c>
      <c r="M20" s="177">
        <f t="shared" si="2"/>
        <v>7.9743589743589735E-2</v>
      </c>
    </row>
    <row r="21" spans="1:13" x14ac:dyDescent="0.2">
      <c r="A21" s="43">
        <v>1.37</v>
      </c>
      <c r="B21">
        <v>-35</v>
      </c>
      <c r="C21">
        <v>-35</v>
      </c>
      <c r="F21" s="43">
        <v>117.32</v>
      </c>
      <c r="G21" s="43">
        <v>535.12</v>
      </c>
      <c r="H21" s="87">
        <f t="shared" si="0"/>
        <v>1.8246527514231503</v>
      </c>
      <c r="I21" s="43">
        <v>817.94117647058829</v>
      </c>
      <c r="J21" s="43">
        <v>1</v>
      </c>
      <c r="K21" s="95">
        <f t="shared" si="1"/>
        <v>-5</v>
      </c>
      <c r="L21" s="43">
        <v>3.3846153846153846</v>
      </c>
      <c r="M21" s="177">
        <f t="shared" si="2"/>
        <v>7.9487179487179482E-2</v>
      </c>
    </row>
    <row r="22" spans="1:13" x14ac:dyDescent="0.2">
      <c r="A22" s="43">
        <v>1.43</v>
      </c>
      <c r="B22">
        <v>-34</v>
      </c>
      <c r="C22">
        <v>-34</v>
      </c>
      <c r="F22" s="43">
        <v>119.56</v>
      </c>
      <c r="G22" s="43">
        <v>536.26</v>
      </c>
      <c r="H22" s="87">
        <f t="shared" si="0"/>
        <v>1.8271886936592818</v>
      </c>
      <c r="I22" s="43">
        <v>817.64705882352939</v>
      </c>
      <c r="J22" s="43">
        <v>1</v>
      </c>
      <c r="K22" s="95">
        <f t="shared" si="1"/>
        <v>-4</v>
      </c>
      <c r="L22" s="43">
        <v>3.3769230769230769</v>
      </c>
      <c r="M22" s="177">
        <f t="shared" si="2"/>
        <v>7.923076923076923E-2</v>
      </c>
    </row>
    <row r="23" spans="1:13" x14ac:dyDescent="0.2">
      <c r="A23" s="43">
        <v>1.49</v>
      </c>
      <c r="B23">
        <v>-33</v>
      </c>
      <c r="C23">
        <v>-33</v>
      </c>
      <c r="F23" s="43">
        <v>121.8</v>
      </c>
      <c r="G23" s="43">
        <v>537.29</v>
      </c>
      <c r="H23" s="87">
        <f t="shared" si="0"/>
        <v>1.8304767397154944</v>
      </c>
      <c r="I23" s="43">
        <v>817.35294117647061</v>
      </c>
      <c r="J23" s="43">
        <v>1</v>
      </c>
      <c r="K23" s="95">
        <f t="shared" si="1"/>
        <v>-3</v>
      </c>
      <c r="L23" s="43">
        <v>3.3692307692307693</v>
      </c>
      <c r="M23" s="177">
        <f t="shared" si="2"/>
        <v>7.8974358974358977E-2</v>
      </c>
    </row>
    <row r="24" spans="1:13" x14ac:dyDescent="0.2">
      <c r="A24" s="43">
        <v>1.55</v>
      </c>
      <c r="B24">
        <v>-32</v>
      </c>
      <c r="C24">
        <v>-32</v>
      </c>
      <c r="F24" s="43">
        <v>124.06</v>
      </c>
      <c r="G24" s="43">
        <v>538.53</v>
      </c>
      <c r="H24" s="87">
        <f t="shared" si="0"/>
        <v>1.8324264705882352</v>
      </c>
      <c r="I24" s="43">
        <v>817.05882352941171</v>
      </c>
      <c r="J24" s="43">
        <v>1</v>
      </c>
      <c r="K24" s="95">
        <f t="shared" si="1"/>
        <v>-2</v>
      </c>
      <c r="L24" s="43">
        <v>3.3615384615384616</v>
      </c>
      <c r="M24" s="177">
        <f t="shared" si="2"/>
        <v>7.8717948717948724E-2</v>
      </c>
    </row>
    <row r="25" spans="1:13" x14ac:dyDescent="0.2">
      <c r="A25" s="43">
        <v>1.61</v>
      </c>
      <c r="B25">
        <v>-31</v>
      </c>
      <c r="C25">
        <v>-31</v>
      </c>
      <c r="F25" s="43">
        <v>126.32</v>
      </c>
      <c r="G25" s="43">
        <v>539.66999999999996</v>
      </c>
      <c r="H25" s="87">
        <f t="shared" si="0"/>
        <v>1.835064277366576</v>
      </c>
      <c r="I25" s="43">
        <v>816.76470588235293</v>
      </c>
      <c r="J25" s="43">
        <v>1</v>
      </c>
      <c r="K25" s="95">
        <f t="shared" si="1"/>
        <v>-1</v>
      </c>
      <c r="L25" s="43">
        <v>3.3538461538461539</v>
      </c>
      <c r="M25" s="177">
        <f t="shared" si="2"/>
        <v>7.8461538461538458E-2</v>
      </c>
    </row>
    <row r="26" spans="1:13" x14ac:dyDescent="0.2">
      <c r="A26" s="43">
        <v>1.68</v>
      </c>
      <c r="B26">
        <v>-30</v>
      </c>
      <c r="C26">
        <v>-30</v>
      </c>
      <c r="F26" s="43">
        <v>128.58000000000001</v>
      </c>
      <c r="G26" s="43">
        <v>540.80999999999995</v>
      </c>
      <c r="H26" s="87">
        <f t="shared" si="0"/>
        <v>1.8377372549019613</v>
      </c>
      <c r="I26" s="43">
        <v>816.47058823529414</v>
      </c>
      <c r="J26" s="43">
        <v>1</v>
      </c>
      <c r="K26" s="95">
        <f t="shared" si="1"/>
        <v>0</v>
      </c>
      <c r="L26" s="43">
        <v>3.3461538461538463</v>
      </c>
      <c r="M26" s="177">
        <f t="shared" si="2"/>
        <v>7.8205128205128205E-2</v>
      </c>
    </row>
    <row r="27" spans="1:13" x14ac:dyDescent="0.2">
      <c r="A27" s="43">
        <v>1.74</v>
      </c>
      <c r="B27">
        <v>-29</v>
      </c>
      <c r="C27">
        <v>-29</v>
      </c>
      <c r="F27" s="43">
        <v>130.86000000000001</v>
      </c>
      <c r="G27" s="43">
        <v>541.94000000000005</v>
      </c>
      <c r="H27" s="87">
        <f t="shared" si="0"/>
        <v>1.8405132254243972</v>
      </c>
      <c r="I27" s="43">
        <v>816.17647058823525</v>
      </c>
      <c r="J27" s="43">
        <v>1</v>
      </c>
      <c r="K27" s="95">
        <f t="shared" si="1"/>
        <v>1</v>
      </c>
      <c r="L27" s="43">
        <v>3.3384615384615386</v>
      </c>
      <c r="M27" s="177">
        <f t="shared" si="2"/>
        <v>7.7948717948717952E-2</v>
      </c>
    </row>
    <row r="28" spans="1:13" x14ac:dyDescent="0.2">
      <c r="A28" s="43">
        <v>1.81</v>
      </c>
      <c r="B28">
        <v>-28</v>
      </c>
      <c r="C28">
        <v>-28</v>
      </c>
      <c r="F28" s="43">
        <v>133.13999999999999</v>
      </c>
      <c r="G28" s="43">
        <v>543.08000000000004</v>
      </c>
      <c r="H28" s="87">
        <f t="shared" si="0"/>
        <v>1.8432591414944353</v>
      </c>
      <c r="I28" s="43">
        <v>815.88235294117646</v>
      </c>
      <c r="J28" s="43">
        <v>1</v>
      </c>
      <c r="K28" s="95">
        <f t="shared" si="1"/>
        <v>2</v>
      </c>
      <c r="L28" s="43">
        <v>3.3307692307692309</v>
      </c>
      <c r="M28" s="177">
        <f t="shared" si="2"/>
        <v>7.7692307692307699E-2</v>
      </c>
    </row>
    <row r="29" spans="1:13" x14ac:dyDescent="0.2">
      <c r="A29" s="43">
        <v>1.88</v>
      </c>
      <c r="B29">
        <v>-27</v>
      </c>
      <c r="C29">
        <v>-27</v>
      </c>
      <c r="F29" s="43">
        <v>135.41999999999999</v>
      </c>
      <c r="G29" s="43">
        <v>544.22</v>
      </c>
      <c r="H29" s="87">
        <f t="shared" si="0"/>
        <v>1.8460424169667868</v>
      </c>
      <c r="I29" s="43">
        <v>815.58823529411768</v>
      </c>
      <c r="J29" s="43">
        <v>1</v>
      </c>
      <c r="K29" s="95">
        <f t="shared" si="1"/>
        <v>3</v>
      </c>
      <c r="L29" s="43">
        <v>3.3230769230769233</v>
      </c>
      <c r="M29" s="177">
        <f t="shared" si="2"/>
        <v>7.7435897435897447E-2</v>
      </c>
    </row>
    <row r="30" spans="1:13" x14ac:dyDescent="0.2">
      <c r="A30" s="43">
        <v>1.96</v>
      </c>
      <c r="B30">
        <v>-26</v>
      </c>
      <c r="C30">
        <v>-26</v>
      </c>
      <c r="F30" s="43">
        <v>137.72</v>
      </c>
      <c r="G30" s="43">
        <v>545.36</v>
      </c>
      <c r="H30" s="87">
        <f t="shared" si="0"/>
        <v>1.8488638195004026</v>
      </c>
      <c r="I30" s="43">
        <v>815.29411764705878</v>
      </c>
      <c r="J30" s="43">
        <v>1</v>
      </c>
      <c r="K30" s="95">
        <f t="shared" si="1"/>
        <v>4</v>
      </c>
      <c r="L30" s="43">
        <v>3.3153846153846156</v>
      </c>
      <c r="M30" s="177">
        <f t="shared" si="2"/>
        <v>7.717948717948718E-2</v>
      </c>
    </row>
    <row r="31" spans="1:13" x14ac:dyDescent="0.2">
      <c r="A31" s="43">
        <v>2.0329999999999999</v>
      </c>
      <c r="B31">
        <v>-25</v>
      </c>
      <c r="C31">
        <v>-25</v>
      </c>
      <c r="F31" s="43">
        <v>140.02000000000001</v>
      </c>
      <c r="G31" s="43">
        <v>546.49</v>
      </c>
      <c r="H31" s="87">
        <f t="shared" si="0"/>
        <v>1.8517931034482757</v>
      </c>
      <c r="I31" s="43">
        <v>815</v>
      </c>
      <c r="J31" s="43">
        <v>1</v>
      </c>
      <c r="K31" s="95">
        <f t="shared" si="1"/>
        <v>5</v>
      </c>
      <c r="L31" s="43">
        <v>3.3076923076923079</v>
      </c>
      <c r="M31" s="177">
        <f t="shared" si="2"/>
        <v>7.6923076923076927E-2</v>
      </c>
    </row>
    <row r="32" spans="1:13" x14ac:dyDescent="0.2">
      <c r="A32" s="43">
        <v>2.11</v>
      </c>
      <c r="B32">
        <v>-24</v>
      </c>
      <c r="C32">
        <v>-24</v>
      </c>
      <c r="F32" s="43">
        <v>142.33000000000001</v>
      </c>
      <c r="G32" s="43">
        <v>547.63</v>
      </c>
      <c r="H32" s="87">
        <f t="shared" si="0"/>
        <v>1.855347222222222</v>
      </c>
      <c r="I32" s="43">
        <v>814.8</v>
      </c>
      <c r="J32" s="43">
        <v>1</v>
      </c>
      <c r="K32" s="95">
        <f t="shared" si="1"/>
        <v>6</v>
      </c>
      <c r="L32" s="43">
        <v>3.3</v>
      </c>
      <c r="M32" s="177">
        <f t="shared" si="2"/>
        <v>7.6666666666666661E-2</v>
      </c>
    </row>
    <row r="33" spans="1:13" x14ac:dyDescent="0.2">
      <c r="A33" s="43">
        <v>2.19</v>
      </c>
      <c r="B33">
        <v>-23</v>
      </c>
      <c r="C33">
        <v>-23</v>
      </c>
      <c r="F33" s="43">
        <v>144.65</v>
      </c>
      <c r="G33" s="43">
        <v>548.76</v>
      </c>
      <c r="H33" s="87">
        <f t="shared" si="0"/>
        <v>1.8590209790209793</v>
      </c>
      <c r="I33" s="43">
        <v>814.6</v>
      </c>
      <c r="J33" s="43">
        <v>1</v>
      </c>
      <c r="K33" s="95">
        <f t="shared" si="1"/>
        <v>7</v>
      </c>
      <c r="L33" s="43">
        <v>3.2923076923076922</v>
      </c>
      <c r="M33" s="177">
        <f t="shared" si="2"/>
        <v>7.6410256410256408E-2</v>
      </c>
    </row>
    <row r="34" spans="1:13" x14ac:dyDescent="0.2">
      <c r="A34" s="43">
        <v>2.27</v>
      </c>
      <c r="B34">
        <v>-22</v>
      </c>
      <c r="C34">
        <v>-22</v>
      </c>
      <c r="F34" s="43">
        <v>146.97</v>
      </c>
      <c r="G34" s="43">
        <v>549.9</v>
      </c>
      <c r="H34" s="87">
        <f t="shared" si="0"/>
        <v>1.8626760563380282</v>
      </c>
      <c r="I34" s="43">
        <v>814.4</v>
      </c>
      <c r="J34" s="43">
        <v>1</v>
      </c>
      <c r="K34" s="95">
        <f t="shared" si="1"/>
        <v>8</v>
      </c>
      <c r="L34" s="43">
        <v>3.2846153846153845</v>
      </c>
      <c r="M34" s="177">
        <f t="shared" si="2"/>
        <v>7.6153846153846155E-2</v>
      </c>
    </row>
    <row r="35" spans="1:13" x14ac:dyDescent="0.2">
      <c r="A35" s="43">
        <v>2.36</v>
      </c>
      <c r="B35">
        <v>-21</v>
      </c>
      <c r="C35">
        <v>-21</v>
      </c>
      <c r="F35" s="43">
        <v>149.30000000000001</v>
      </c>
      <c r="G35" s="43">
        <v>551.03</v>
      </c>
      <c r="H35" s="87">
        <f t="shared" si="0"/>
        <v>1.8664539007092205</v>
      </c>
      <c r="I35" s="43">
        <v>814.2</v>
      </c>
      <c r="J35" s="43">
        <v>1</v>
      </c>
      <c r="K35" s="95">
        <f t="shared" si="1"/>
        <v>9</v>
      </c>
      <c r="L35" s="43">
        <v>3.2769230769230768</v>
      </c>
      <c r="M35" s="177">
        <f t="shared" si="2"/>
        <v>7.5897435897435889E-2</v>
      </c>
    </row>
    <row r="36" spans="1:13" x14ac:dyDescent="0.2">
      <c r="A36" s="43">
        <v>2.44</v>
      </c>
      <c r="B36">
        <v>-20</v>
      </c>
      <c r="C36">
        <v>-20</v>
      </c>
      <c r="F36" s="43">
        <v>151.63999999999999</v>
      </c>
      <c r="G36" s="43">
        <v>552.16999999999996</v>
      </c>
      <c r="H36" s="87">
        <f t="shared" si="0"/>
        <v>1.8702142857142861</v>
      </c>
      <c r="I36" s="43">
        <v>814</v>
      </c>
      <c r="J36" s="43">
        <v>1</v>
      </c>
      <c r="K36" s="95">
        <f t="shared" si="1"/>
        <v>10</v>
      </c>
      <c r="L36" s="43">
        <v>3.2692307692307692</v>
      </c>
      <c r="M36" s="177">
        <f t="shared" si="2"/>
        <v>7.5641025641025636E-2</v>
      </c>
    </row>
    <row r="37" spans="1:13" x14ac:dyDescent="0.2">
      <c r="A37" s="43">
        <v>2.5299999999999998</v>
      </c>
      <c r="B37">
        <v>-19</v>
      </c>
      <c r="C37">
        <v>-19</v>
      </c>
      <c r="F37" s="43">
        <v>153.97999999999999</v>
      </c>
      <c r="G37" s="43">
        <v>553.29999999999995</v>
      </c>
      <c r="H37" s="87">
        <f t="shared" si="0"/>
        <v>1.8741007194244603</v>
      </c>
      <c r="I37" s="43">
        <v>813.8</v>
      </c>
      <c r="J37" s="43">
        <v>1</v>
      </c>
      <c r="K37" s="95">
        <f t="shared" si="1"/>
        <v>11</v>
      </c>
      <c r="L37" s="43">
        <v>3.2615384615384615</v>
      </c>
      <c r="M37" s="177">
        <f t="shared" si="2"/>
        <v>7.5384615384615383E-2</v>
      </c>
    </row>
    <row r="38" spans="1:13" x14ac:dyDescent="0.2">
      <c r="A38" s="43">
        <v>2.63</v>
      </c>
      <c r="B38">
        <v>-18</v>
      </c>
      <c r="C38">
        <v>-18</v>
      </c>
      <c r="F38" s="43">
        <v>156.33000000000001</v>
      </c>
      <c r="G38" s="43">
        <v>554.42999999999995</v>
      </c>
      <c r="H38" s="87">
        <f t="shared" si="0"/>
        <v>1.8780434782608701</v>
      </c>
      <c r="I38" s="43">
        <v>813.6</v>
      </c>
      <c r="J38" s="43">
        <v>1</v>
      </c>
      <c r="K38" s="95">
        <f t="shared" si="1"/>
        <v>12</v>
      </c>
      <c r="L38" s="43">
        <v>3.2538461538461538</v>
      </c>
      <c r="M38" s="177">
        <f t="shared" si="2"/>
        <v>7.5128205128205131E-2</v>
      </c>
    </row>
    <row r="39" spans="1:13" x14ac:dyDescent="0.2">
      <c r="A39" s="43">
        <v>2.72</v>
      </c>
      <c r="B39">
        <v>-17</v>
      </c>
      <c r="C39">
        <v>-17</v>
      </c>
      <c r="F39" s="43">
        <v>158.69</v>
      </c>
      <c r="G39" s="43">
        <v>555.55999999999995</v>
      </c>
      <c r="H39" s="87">
        <f t="shared" si="0"/>
        <v>1.8820437956204381</v>
      </c>
      <c r="I39" s="43">
        <v>813.4</v>
      </c>
      <c r="J39" s="43">
        <v>1</v>
      </c>
      <c r="K39" s="95">
        <f t="shared" si="1"/>
        <v>13</v>
      </c>
      <c r="L39" s="43">
        <v>3.2461538461538462</v>
      </c>
      <c r="M39" s="177">
        <f t="shared" si="2"/>
        <v>7.4871794871794878E-2</v>
      </c>
    </row>
    <row r="40" spans="1:13" x14ac:dyDescent="0.2">
      <c r="A40" s="43">
        <v>2.82</v>
      </c>
      <c r="B40">
        <v>-16</v>
      </c>
      <c r="C40">
        <v>-16</v>
      </c>
      <c r="F40" s="43">
        <v>161.06</v>
      </c>
      <c r="G40" s="43">
        <v>556.66999999999996</v>
      </c>
      <c r="H40" s="87">
        <f t="shared" si="0"/>
        <v>1.8862500000000006</v>
      </c>
      <c r="I40" s="43">
        <v>813.2</v>
      </c>
      <c r="J40" s="43">
        <v>1</v>
      </c>
      <c r="K40" s="95">
        <f t="shared" si="1"/>
        <v>14</v>
      </c>
      <c r="L40" s="43">
        <v>3.2384615384615385</v>
      </c>
      <c r="M40" s="177">
        <f t="shared" si="2"/>
        <v>7.4615384615384611E-2</v>
      </c>
    </row>
    <row r="41" spans="1:13" x14ac:dyDescent="0.2">
      <c r="A41" s="43">
        <v>2.92</v>
      </c>
      <c r="B41">
        <v>-15</v>
      </c>
      <c r="C41">
        <v>-15</v>
      </c>
      <c r="F41" s="43">
        <v>163.43</v>
      </c>
      <c r="G41" s="43">
        <v>557.82000000000005</v>
      </c>
      <c r="H41" s="87">
        <f t="shared" si="0"/>
        <v>1.8902222222222218</v>
      </c>
      <c r="I41" s="43">
        <v>813</v>
      </c>
      <c r="J41" s="43">
        <v>1</v>
      </c>
      <c r="K41" s="95">
        <f t="shared" si="1"/>
        <v>15</v>
      </c>
      <c r="L41" s="43">
        <v>3.2307692307692308</v>
      </c>
      <c r="M41" s="177">
        <f t="shared" si="2"/>
        <v>7.4358974358974358E-2</v>
      </c>
    </row>
    <row r="42" spans="1:13" x14ac:dyDescent="0.2">
      <c r="A42" s="43">
        <v>3.02</v>
      </c>
      <c r="B42">
        <v>-14</v>
      </c>
      <c r="C42">
        <v>-14</v>
      </c>
      <c r="F42" s="43">
        <v>165.82</v>
      </c>
      <c r="G42" s="43">
        <v>558.95000000000005</v>
      </c>
      <c r="H42" s="87">
        <f t="shared" si="0"/>
        <v>1.8944029850746262</v>
      </c>
      <c r="I42" s="43">
        <v>812.8</v>
      </c>
      <c r="J42" s="43">
        <v>1</v>
      </c>
      <c r="K42" s="95">
        <f t="shared" si="1"/>
        <v>16</v>
      </c>
      <c r="L42" s="43">
        <v>3.2230769230769232</v>
      </c>
      <c r="M42" s="177">
        <f t="shared" si="2"/>
        <v>7.4102564102564106E-2</v>
      </c>
    </row>
    <row r="43" spans="1:13" x14ac:dyDescent="0.2">
      <c r="A43" s="43">
        <v>3.12</v>
      </c>
      <c r="B43">
        <v>-13</v>
      </c>
      <c r="C43">
        <v>-13</v>
      </c>
      <c r="F43" s="43">
        <v>168.21</v>
      </c>
      <c r="G43" s="43">
        <v>560.07000000000005</v>
      </c>
      <c r="H43" s="87">
        <f t="shared" si="0"/>
        <v>1.8987218045112779</v>
      </c>
      <c r="I43" s="43">
        <v>812.6</v>
      </c>
      <c r="J43" s="43">
        <v>1</v>
      </c>
      <c r="K43" s="95">
        <f t="shared" si="1"/>
        <v>17</v>
      </c>
      <c r="L43" s="43">
        <v>3.2153846153846155</v>
      </c>
      <c r="M43" s="177">
        <f t="shared" si="2"/>
        <v>7.3846153846153853E-2</v>
      </c>
    </row>
    <row r="44" spans="1:13" x14ac:dyDescent="0.2">
      <c r="A44" s="43">
        <v>3.23</v>
      </c>
      <c r="B44">
        <v>-12</v>
      </c>
      <c r="C44">
        <v>-12</v>
      </c>
      <c r="F44" s="43">
        <v>170.6</v>
      </c>
      <c r="G44" s="43">
        <v>561.20000000000005</v>
      </c>
      <c r="H44" s="87">
        <f t="shared" si="0"/>
        <v>1.9030303030303024</v>
      </c>
      <c r="I44" s="43">
        <v>812.4</v>
      </c>
      <c r="J44" s="43">
        <v>1</v>
      </c>
      <c r="K44" s="95">
        <f t="shared" si="1"/>
        <v>18</v>
      </c>
      <c r="L44" s="43">
        <v>3.2076923076923078</v>
      </c>
      <c r="M44" s="177">
        <f t="shared" si="2"/>
        <v>7.35897435897436E-2</v>
      </c>
    </row>
    <row r="45" spans="1:13" x14ac:dyDescent="0.2">
      <c r="A45" s="43">
        <v>3.34</v>
      </c>
      <c r="B45">
        <v>-11</v>
      </c>
      <c r="C45">
        <v>-11</v>
      </c>
      <c r="F45" s="43">
        <v>173.01</v>
      </c>
      <c r="G45" s="43">
        <v>562.32000000000005</v>
      </c>
      <c r="H45" s="87">
        <f t="shared" si="0"/>
        <v>1.9074809160305344</v>
      </c>
      <c r="I45" s="43">
        <v>812.2</v>
      </c>
      <c r="J45" s="43">
        <v>1</v>
      </c>
      <c r="K45" s="95">
        <f t="shared" si="1"/>
        <v>19</v>
      </c>
      <c r="L45" s="43">
        <v>3.2</v>
      </c>
      <c r="M45" s="177">
        <f t="shared" si="2"/>
        <v>7.3333333333333334E-2</v>
      </c>
    </row>
    <row r="46" spans="1:13" x14ac:dyDescent="0.2">
      <c r="A46" s="43">
        <v>3.45</v>
      </c>
      <c r="B46">
        <v>-10</v>
      </c>
      <c r="C46">
        <v>-10</v>
      </c>
      <c r="F46" s="43">
        <v>175.42</v>
      </c>
      <c r="G46" s="43">
        <v>563.44000000000005</v>
      </c>
      <c r="H46" s="87">
        <f t="shared" si="0"/>
        <v>1.9119999999999995</v>
      </c>
      <c r="I46" s="43">
        <v>812</v>
      </c>
      <c r="J46" s="43">
        <v>1</v>
      </c>
      <c r="K46" s="95">
        <f t="shared" si="1"/>
        <v>20</v>
      </c>
      <c r="L46" s="43">
        <v>3.1923076923076925</v>
      </c>
      <c r="M46" s="177">
        <f t="shared" si="2"/>
        <v>7.3076923076923081E-2</v>
      </c>
    </row>
    <row r="47" spans="1:13" x14ac:dyDescent="0.2">
      <c r="A47" s="43">
        <v>3.57</v>
      </c>
      <c r="B47">
        <v>-9</v>
      </c>
      <c r="C47">
        <v>-9</v>
      </c>
      <c r="F47" s="43">
        <v>177.84</v>
      </c>
      <c r="G47" s="43">
        <v>564.55999999999995</v>
      </c>
      <c r="H47" s="87">
        <f t="shared" si="0"/>
        <v>1.9165891472868217</v>
      </c>
      <c r="I47" s="43">
        <v>811.8</v>
      </c>
      <c r="J47" s="43">
        <v>1</v>
      </c>
      <c r="K47" s="95">
        <f t="shared" si="1"/>
        <v>21</v>
      </c>
      <c r="L47" s="43">
        <v>3.1846153846153848</v>
      </c>
      <c r="M47" s="177">
        <f t="shared" si="2"/>
        <v>7.2820512820512828E-2</v>
      </c>
    </row>
    <row r="48" spans="1:13" x14ac:dyDescent="0.2">
      <c r="A48" s="43">
        <v>3.69</v>
      </c>
      <c r="B48">
        <v>-8</v>
      </c>
      <c r="C48">
        <v>-8</v>
      </c>
      <c r="F48" s="43">
        <v>180.27</v>
      </c>
      <c r="G48" s="43">
        <v>565.58000000000004</v>
      </c>
      <c r="H48" s="87">
        <f t="shared" si="0"/>
        <v>1.9220312499999999</v>
      </c>
      <c r="I48" s="43">
        <v>811.6</v>
      </c>
      <c r="J48" s="43">
        <v>1</v>
      </c>
      <c r="K48" s="95">
        <f t="shared" si="1"/>
        <v>22</v>
      </c>
      <c r="L48" s="43">
        <v>3.1769230769230772</v>
      </c>
      <c r="M48" s="177">
        <f t="shared" si="2"/>
        <v>7.2564102564102576E-2</v>
      </c>
    </row>
    <row r="49" spans="1:13" x14ac:dyDescent="0.2">
      <c r="A49" s="43">
        <v>3.81</v>
      </c>
      <c r="B49">
        <v>-7</v>
      </c>
      <c r="C49">
        <v>-7</v>
      </c>
      <c r="F49" s="43">
        <v>182.71</v>
      </c>
      <c r="G49" s="43">
        <v>566.79</v>
      </c>
      <c r="H49" s="87">
        <f t="shared" si="0"/>
        <v>1.9260629921259844</v>
      </c>
      <c r="I49" s="43">
        <v>811.4</v>
      </c>
      <c r="J49" s="43">
        <v>1</v>
      </c>
      <c r="K49" s="95">
        <f t="shared" si="1"/>
        <v>23</v>
      </c>
      <c r="L49" s="43">
        <v>3.1692307692307695</v>
      </c>
      <c r="M49" s="177">
        <f t="shared" si="2"/>
        <v>7.2307692307692323E-2</v>
      </c>
    </row>
    <row r="50" spans="1:13" x14ac:dyDescent="0.2">
      <c r="A50" s="43">
        <v>3.93</v>
      </c>
      <c r="B50">
        <v>-6</v>
      </c>
      <c r="C50">
        <v>-6</v>
      </c>
      <c r="F50" s="43">
        <v>185.16</v>
      </c>
      <c r="G50" s="43">
        <v>567.91</v>
      </c>
      <c r="H50" s="87">
        <f t="shared" si="0"/>
        <v>1.9308730158730165</v>
      </c>
      <c r="I50" s="43">
        <v>811.2</v>
      </c>
      <c r="J50" s="43">
        <v>1</v>
      </c>
      <c r="K50" s="95">
        <f t="shared" si="1"/>
        <v>24</v>
      </c>
      <c r="L50" s="43">
        <v>3.1615384615384619</v>
      </c>
      <c r="M50" s="177">
        <f t="shared" si="2"/>
        <v>7.2051282051282056E-2</v>
      </c>
    </row>
    <row r="51" spans="1:13" x14ac:dyDescent="0.2">
      <c r="A51" s="43">
        <v>4.0599999999999996</v>
      </c>
      <c r="B51">
        <v>-5</v>
      </c>
      <c r="C51">
        <v>-5</v>
      </c>
      <c r="F51" s="43">
        <v>187.61</v>
      </c>
      <c r="G51" s="43">
        <v>569.02</v>
      </c>
      <c r="H51" s="87">
        <f t="shared" si="0"/>
        <v>1.9358400000000002</v>
      </c>
      <c r="I51" s="43">
        <v>811</v>
      </c>
      <c r="J51" s="43">
        <v>1</v>
      </c>
      <c r="K51" s="95">
        <f t="shared" si="1"/>
        <v>25</v>
      </c>
      <c r="L51" s="43">
        <v>3.1538461538461542</v>
      </c>
      <c r="M51" s="177">
        <f t="shared" si="2"/>
        <v>7.1794871794871803E-2</v>
      </c>
    </row>
    <row r="52" spans="1:13" x14ac:dyDescent="0.2">
      <c r="A52" s="43">
        <v>4.1900000000000004</v>
      </c>
      <c r="B52">
        <v>-4</v>
      </c>
      <c r="C52">
        <v>-4</v>
      </c>
      <c r="F52" s="43">
        <v>190.07</v>
      </c>
      <c r="G52" s="43">
        <v>570.13</v>
      </c>
      <c r="H52" s="87">
        <f t="shared" si="0"/>
        <v>1.9408870967741931</v>
      </c>
      <c r="I52" s="43">
        <v>810.8</v>
      </c>
      <c r="J52" s="43">
        <v>1</v>
      </c>
      <c r="K52" s="95">
        <f t="shared" si="1"/>
        <v>26</v>
      </c>
      <c r="L52" s="43">
        <v>3.1461538461538461</v>
      </c>
      <c r="M52" s="177">
        <f t="shared" si="2"/>
        <v>7.1538461538461537E-2</v>
      </c>
    </row>
    <row r="53" spans="1:13" x14ac:dyDescent="0.2">
      <c r="A53" s="43">
        <v>4.32</v>
      </c>
      <c r="B53">
        <v>-3</v>
      </c>
      <c r="C53">
        <v>-3</v>
      </c>
      <c r="F53" s="43">
        <v>193.54</v>
      </c>
      <c r="G53" s="43">
        <v>571.23</v>
      </c>
      <c r="H53" s="87">
        <f t="shared" si="0"/>
        <v>1.9460975609756097</v>
      </c>
      <c r="I53" s="43">
        <v>810.6</v>
      </c>
      <c r="J53" s="43">
        <v>1</v>
      </c>
      <c r="K53" s="95">
        <f t="shared" si="1"/>
        <v>27</v>
      </c>
      <c r="L53" s="43">
        <v>3.1384615384615384</v>
      </c>
      <c r="M53" s="177">
        <f t="shared" si="2"/>
        <v>7.1282051282051284E-2</v>
      </c>
    </row>
    <row r="54" spans="1:13" x14ac:dyDescent="0.2">
      <c r="A54" s="43">
        <v>4.46</v>
      </c>
      <c r="B54">
        <v>-2</v>
      </c>
      <c r="C54">
        <v>-2</v>
      </c>
      <c r="F54" s="43">
        <v>195.02</v>
      </c>
      <c r="G54" s="43">
        <v>572.34</v>
      </c>
      <c r="H54" s="87">
        <f t="shared" si="0"/>
        <v>1.9513114754098355</v>
      </c>
      <c r="I54" s="43">
        <v>810.4</v>
      </c>
      <c r="J54" s="43">
        <v>1</v>
      </c>
      <c r="K54" s="95">
        <f t="shared" si="1"/>
        <v>28</v>
      </c>
      <c r="L54" s="43">
        <v>3.1307692307692307</v>
      </c>
      <c r="M54" s="177">
        <f t="shared" si="2"/>
        <v>7.1025641025641031E-2</v>
      </c>
    </row>
    <row r="55" spans="1:13" x14ac:dyDescent="0.2">
      <c r="A55" s="43">
        <v>4.5999999999999996</v>
      </c>
      <c r="B55">
        <v>-1</v>
      </c>
      <c r="C55">
        <v>-1</v>
      </c>
      <c r="F55" s="43">
        <v>197.5</v>
      </c>
      <c r="G55" s="43">
        <v>573.44000000000005</v>
      </c>
      <c r="H55" s="87">
        <f t="shared" si="0"/>
        <v>1.9566942148760329</v>
      </c>
      <c r="I55" s="43">
        <v>810.2</v>
      </c>
      <c r="J55" s="43">
        <v>1</v>
      </c>
      <c r="K55" s="95">
        <f t="shared" si="1"/>
        <v>29</v>
      </c>
      <c r="L55" s="43">
        <v>3.1230769230769231</v>
      </c>
      <c r="M55" s="177">
        <f t="shared" si="2"/>
        <v>7.0769230769230765E-2</v>
      </c>
    </row>
    <row r="56" spans="1:13" x14ac:dyDescent="0.2">
      <c r="A56" s="43">
        <v>4.74</v>
      </c>
      <c r="B56">
        <v>0</v>
      </c>
      <c r="C56">
        <v>0</v>
      </c>
      <c r="F56" s="43">
        <v>200</v>
      </c>
      <c r="G56" s="43">
        <v>574.54</v>
      </c>
      <c r="H56" s="87">
        <f t="shared" si="0"/>
        <v>1.9621666666666671</v>
      </c>
      <c r="I56" s="43">
        <v>810</v>
      </c>
      <c r="J56" s="43">
        <v>1</v>
      </c>
      <c r="K56" s="95">
        <f t="shared" si="1"/>
        <v>30</v>
      </c>
      <c r="L56" s="43">
        <v>3.1153846153846154</v>
      </c>
      <c r="M56" s="177">
        <f t="shared" si="2"/>
        <v>7.0512820512820512E-2</v>
      </c>
    </row>
    <row r="57" spans="1:13" x14ac:dyDescent="0.2">
      <c r="A57" s="43">
        <v>4.8899999999999997</v>
      </c>
      <c r="B57">
        <v>1</v>
      </c>
      <c r="C57">
        <v>1</v>
      </c>
      <c r="F57" s="43">
        <v>202.5</v>
      </c>
      <c r="G57" s="43">
        <v>575.63</v>
      </c>
      <c r="H57" s="87">
        <f t="shared" si="0"/>
        <v>1.9659943977591039</v>
      </c>
      <c r="I57" s="43">
        <v>809.58333333333337</v>
      </c>
      <c r="J57" s="43">
        <v>1</v>
      </c>
      <c r="K57" s="95">
        <f t="shared" si="1"/>
        <v>31</v>
      </c>
      <c r="L57" s="43">
        <v>3.1076923076923078</v>
      </c>
      <c r="M57" s="177">
        <f t="shared" si="2"/>
        <v>7.0256410256410259E-2</v>
      </c>
    </row>
    <row r="58" spans="1:13" x14ac:dyDescent="0.2">
      <c r="A58" s="43">
        <v>5.04</v>
      </c>
      <c r="B58">
        <v>2</v>
      </c>
      <c r="C58">
        <v>2</v>
      </c>
      <c r="F58" s="43">
        <v>205.02</v>
      </c>
      <c r="G58" s="43">
        <v>576.72</v>
      </c>
      <c r="H58" s="87">
        <f t="shared" si="0"/>
        <v>1.9698870056497169</v>
      </c>
      <c r="I58" s="43">
        <v>809.16666666666663</v>
      </c>
      <c r="J58" s="43">
        <v>1</v>
      </c>
      <c r="K58" s="95">
        <f t="shared" si="1"/>
        <v>32</v>
      </c>
      <c r="L58" s="43">
        <v>3.1</v>
      </c>
      <c r="M58" s="177">
        <f t="shared" si="2"/>
        <v>7.0000000000000007E-2</v>
      </c>
    </row>
    <row r="59" spans="1:13" x14ac:dyDescent="0.2">
      <c r="A59" s="43">
        <v>5.19</v>
      </c>
      <c r="B59">
        <v>3</v>
      </c>
      <c r="C59">
        <v>3</v>
      </c>
      <c r="F59" s="43">
        <v>207.54</v>
      </c>
      <c r="G59" s="43">
        <v>577.80999999999995</v>
      </c>
      <c r="H59" s="87">
        <f t="shared" si="0"/>
        <v>1.9738461538461542</v>
      </c>
      <c r="I59" s="43">
        <v>808.75</v>
      </c>
      <c r="J59" s="43">
        <v>1</v>
      </c>
      <c r="K59" s="95">
        <f t="shared" si="1"/>
        <v>33</v>
      </c>
      <c r="L59" s="43">
        <v>3.0931999999999999</v>
      </c>
      <c r="M59" s="177">
        <f t="shared" si="2"/>
        <v>6.9773333333333326E-2</v>
      </c>
    </row>
    <row r="60" spans="1:13" x14ac:dyDescent="0.2">
      <c r="A60" s="43">
        <v>5.35</v>
      </c>
      <c r="B60">
        <v>4</v>
      </c>
      <c r="C60">
        <v>4</v>
      </c>
      <c r="F60" s="43">
        <v>210.07</v>
      </c>
      <c r="G60" s="43">
        <v>578.9</v>
      </c>
      <c r="H60" s="87">
        <f t="shared" si="0"/>
        <v>1.9778735632183913</v>
      </c>
      <c r="I60" s="43">
        <v>808.33333333333337</v>
      </c>
      <c r="J60" s="43">
        <v>1</v>
      </c>
      <c r="K60" s="95">
        <f t="shared" si="1"/>
        <v>34</v>
      </c>
      <c r="L60" s="43">
        <v>3.0864000000000003</v>
      </c>
      <c r="M60" s="177">
        <f t="shared" si="2"/>
        <v>6.9546666666666673E-2</v>
      </c>
    </row>
    <row r="61" spans="1:13" x14ac:dyDescent="0.2">
      <c r="A61" s="43">
        <v>5.51</v>
      </c>
      <c r="B61">
        <v>5</v>
      </c>
      <c r="C61">
        <v>5</v>
      </c>
      <c r="F61" s="43">
        <v>212.81</v>
      </c>
      <c r="G61" s="43">
        <v>579.98</v>
      </c>
      <c r="H61" s="87">
        <f t="shared" si="0"/>
        <v>1.9820579710144923</v>
      </c>
      <c r="I61" s="43">
        <v>807.91666666666663</v>
      </c>
      <c r="J61" s="43">
        <v>1</v>
      </c>
      <c r="K61" s="95">
        <f t="shared" si="1"/>
        <v>35</v>
      </c>
      <c r="L61" s="43">
        <v>3.0796000000000001</v>
      </c>
      <c r="M61" s="177">
        <f t="shared" si="2"/>
        <v>6.9320000000000007E-2</v>
      </c>
    </row>
    <row r="62" spans="1:13" x14ac:dyDescent="0.2">
      <c r="A62" s="43">
        <v>5.67</v>
      </c>
      <c r="B62">
        <v>6</v>
      </c>
      <c r="C62">
        <v>6</v>
      </c>
      <c r="F62" s="43">
        <v>215.15</v>
      </c>
      <c r="G62" s="43">
        <v>581.05999999999995</v>
      </c>
      <c r="H62" s="87">
        <f t="shared" si="0"/>
        <v>1.9863157894736847</v>
      </c>
      <c r="I62" s="43">
        <v>807.5</v>
      </c>
      <c r="J62" s="43">
        <v>1</v>
      </c>
      <c r="K62" s="95">
        <f t="shared" si="1"/>
        <v>36</v>
      </c>
      <c r="L62" s="43">
        <v>3.0728</v>
      </c>
      <c r="M62" s="177">
        <f t="shared" si="2"/>
        <v>6.9093333333333326E-2</v>
      </c>
    </row>
    <row r="63" spans="1:13" x14ac:dyDescent="0.2">
      <c r="A63" s="43">
        <v>5.84</v>
      </c>
      <c r="B63">
        <v>7</v>
      </c>
      <c r="C63">
        <v>7</v>
      </c>
      <c r="F63" s="43">
        <v>217.71</v>
      </c>
      <c r="G63" s="43">
        <v>582.14</v>
      </c>
      <c r="H63" s="87">
        <f t="shared" si="0"/>
        <v>1.9906489675516228</v>
      </c>
      <c r="I63" s="43">
        <v>807.08333333333337</v>
      </c>
      <c r="J63" s="43">
        <v>1</v>
      </c>
      <c r="K63" s="95">
        <f t="shared" si="1"/>
        <v>37</v>
      </c>
      <c r="L63" s="43">
        <v>3.0660000000000003</v>
      </c>
      <c r="M63" s="177">
        <f t="shared" si="2"/>
        <v>6.8866666666666673E-2</v>
      </c>
    </row>
    <row r="64" spans="1:13" x14ac:dyDescent="0.2">
      <c r="A64" s="43">
        <v>6.01</v>
      </c>
      <c r="B64">
        <v>8</v>
      </c>
      <c r="C64">
        <v>8</v>
      </c>
      <c r="F64" s="43">
        <v>220.28</v>
      </c>
      <c r="G64" s="43">
        <v>583.21</v>
      </c>
      <c r="H64" s="87">
        <f t="shared" si="0"/>
        <v>1.9951488095238088</v>
      </c>
      <c r="I64" s="43">
        <v>806.66666666666663</v>
      </c>
      <c r="J64" s="43">
        <v>1</v>
      </c>
      <c r="K64" s="95">
        <f t="shared" si="1"/>
        <v>38</v>
      </c>
      <c r="L64" s="43">
        <v>3.0592000000000001</v>
      </c>
      <c r="M64" s="177">
        <f t="shared" si="2"/>
        <v>6.8640000000000007E-2</v>
      </c>
    </row>
    <row r="65" spans="1:13" x14ac:dyDescent="0.2">
      <c r="A65" s="43">
        <v>6.19</v>
      </c>
      <c r="B65">
        <v>9</v>
      </c>
      <c r="C65">
        <v>9</v>
      </c>
      <c r="F65" s="43">
        <v>222.85</v>
      </c>
      <c r="G65" s="43">
        <v>584.28</v>
      </c>
      <c r="H65" s="87">
        <f t="shared" si="0"/>
        <v>1.9997297297297301</v>
      </c>
      <c r="I65" s="43">
        <v>806.25</v>
      </c>
      <c r="J65" s="43">
        <v>1</v>
      </c>
      <c r="K65" s="95">
        <f t="shared" si="1"/>
        <v>39</v>
      </c>
      <c r="L65" s="43">
        <v>3.0524</v>
      </c>
      <c r="M65" s="177">
        <f t="shared" si="2"/>
        <v>6.841333333333334E-2</v>
      </c>
    </row>
    <row r="66" spans="1:13" x14ac:dyDescent="0.2">
      <c r="A66" s="43">
        <v>6.36</v>
      </c>
      <c r="B66">
        <v>10</v>
      </c>
      <c r="C66">
        <v>10</v>
      </c>
      <c r="F66" s="43">
        <v>225.44</v>
      </c>
      <c r="G66" s="43">
        <v>585.34</v>
      </c>
      <c r="H66" s="87">
        <f t="shared" si="0"/>
        <v>2.0044848484848488</v>
      </c>
      <c r="I66" s="43">
        <v>805.83333333333337</v>
      </c>
      <c r="J66" s="43">
        <v>1</v>
      </c>
      <c r="K66" s="95">
        <f t="shared" si="1"/>
        <v>40</v>
      </c>
      <c r="L66" s="43">
        <v>3.0456000000000003</v>
      </c>
      <c r="M66" s="177">
        <f t="shared" si="2"/>
        <v>6.8186666666666673E-2</v>
      </c>
    </row>
    <row r="67" spans="1:13" x14ac:dyDescent="0.2">
      <c r="A67" s="43">
        <v>6.55</v>
      </c>
      <c r="B67">
        <v>11</v>
      </c>
      <c r="C67">
        <v>11</v>
      </c>
      <c r="F67" s="43">
        <v>228.03</v>
      </c>
      <c r="G67" s="43">
        <v>586.4</v>
      </c>
      <c r="H67" s="87">
        <f t="shared" si="0"/>
        <v>2.009327217125382</v>
      </c>
      <c r="I67" s="43">
        <v>805.41666666666663</v>
      </c>
      <c r="J67" s="43">
        <v>1</v>
      </c>
      <c r="K67" s="95">
        <f t="shared" si="1"/>
        <v>41</v>
      </c>
      <c r="L67" s="43">
        <v>3.0388000000000002</v>
      </c>
      <c r="M67" s="177">
        <f t="shared" si="2"/>
        <v>6.7960000000000007E-2</v>
      </c>
    </row>
    <row r="68" spans="1:13" x14ac:dyDescent="0.2">
      <c r="A68" s="43">
        <v>6.73</v>
      </c>
      <c r="B68">
        <v>12</v>
      </c>
      <c r="C68">
        <v>12</v>
      </c>
      <c r="F68" s="43">
        <v>230.64</v>
      </c>
      <c r="G68" s="43">
        <v>587.46</v>
      </c>
      <c r="H68" s="87">
        <f t="shared" si="0"/>
        <v>2.014259259259259</v>
      </c>
      <c r="I68" s="43">
        <v>805</v>
      </c>
      <c r="J68" s="43">
        <v>1</v>
      </c>
      <c r="K68" s="95">
        <f t="shared" si="1"/>
        <v>42</v>
      </c>
      <c r="L68" s="43">
        <v>3.032</v>
      </c>
      <c r="M68" s="177">
        <f t="shared" si="2"/>
        <v>6.773333333333334E-2</v>
      </c>
    </row>
    <row r="69" spans="1:13" x14ac:dyDescent="0.2">
      <c r="A69" s="43">
        <v>6.92</v>
      </c>
      <c r="B69">
        <v>13</v>
      </c>
      <c r="C69">
        <v>13</v>
      </c>
      <c r="F69" s="43">
        <v>233.25</v>
      </c>
      <c r="G69" s="43">
        <v>588.51</v>
      </c>
      <c r="H69" s="87">
        <f t="shared" si="0"/>
        <v>2.0201557632398752</v>
      </c>
      <c r="I69" s="43">
        <v>804.66666666666663</v>
      </c>
      <c r="J69" s="43">
        <v>1</v>
      </c>
      <c r="K69" s="95">
        <f t="shared" si="1"/>
        <v>43</v>
      </c>
      <c r="L69" s="43">
        <v>3.0251999999999999</v>
      </c>
      <c r="M69" s="177">
        <f t="shared" si="2"/>
        <v>6.7506666666666659E-2</v>
      </c>
    </row>
    <row r="70" spans="1:13" x14ac:dyDescent="0.2">
      <c r="A70" s="43">
        <v>7.12</v>
      </c>
      <c r="B70">
        <v>14</v>
      </c>
      <c r="C70">
        <v>14</v>
      </c>
      <c r="F70" s="43">
        <v>235.87</v>
      </c>
      <c r="G70" s="43">
        <v>589.54999999999995</v>
      </c>
      <c r="H70" s="87">
        <f t="shared" si="0"/>
        <v>2.0262578616352207</v>
      </c>
      <c r="I70" s="43">
        <v>804.33333333333337</v>
      </c>
      <c r="J70" s="43">
        <v>1</v>
      </c>
      <c r="K70" s="95">
        <f t="shared" si="1"/>
        <v>44</v>
      </c>
      <c r="L70" s="43">
        <v>3.0184000000000002</v>
      </c>
      <c r="M70" s="177">
        <f t="shared" si="2"/>
        <v>6.7280000000000006E-2</v>
      </c>
    </row>
    <row r="71" spans="1:13" x14ac:dyDescent="0.2">
      <c r="A71" s="43">
        <v>7.31</v>
      </c>
      <c r="B71">
        <v>15</v>
      </c>
      <c r="C71">
        <v>15</v>
      </c>
      <c r="F71" s="43">
        <v>238.51</v>
      </c>
      <c r="G71" s="43">
        <v>590.6</v>
      </c>
      <c r="H71" s="87">
        <f t="shared" ref="H71:H106" si="3">((I71-G71)/($H$2-C71))</f>
        <v>2.0323809523809522</v>
      </c>
      <c r="I71" s="43">
        <v>804</v>
      </c>
      <c r="J71" s="43">
        <v>1</v>
      </c>
      <c r="K71" s="95">
        <f t="shared" ref="K71:K106" si="4">(C71+30)</f>
        <v>45</v>
      </c>
      <c r="L71" s="43">
        <v>3.0116000000000001</v>
      </c>
      <c r="M71" s="177">
        <f t="shared" ref="M71:M106" si="5">(L71-J71)/30</f>
        <v>6.705333333333334E-2</v>
      </c>
    </row>
    <row r="72" spans="1:13" x14ac:dyDescent="0.2">
      <c r="A72" s="43">
        <v>7.52</v>
      </c>
      <c r="B72">
        <v>16</v>
      </c>
      <c r="C72">
        <v>16</v>
      </c>
      <c r="F72" s="43">
        <v>241.16</v>
      </c>
      <c r="G72" s="43">
        <v>591.63</v>
      </c>
      <c r="H72" s="87">
        <f t="shared" si="3"/>
        <v>2.0388141025641024</v>
      </c>
      <c r="I72" s="43">
        <v>803.66666666666663</v>
      </c>
      <c r="J72" s="43">
        <v>1</v>
      </c>
      <c r="K72" s="95">
        <f t="shared" si="4"/>
        <v>46</v>
      </c>
      <c r="L72" s="43">
        <v>3.0047999999999999</v>
      </c>
      <c r="M72" s="177">
        <f t="shared" si="5"/>
        <v>6.6826666666666659E-2</v>
      </c>
    </row>
    <row r="73" spans="1:13" x14ac:dyDescent="0.2">
      <c r="A73" s="43">
        <v>7.72</v>
      </c>
      <c r="B73">
        <v>17</v>
      </c>
      <c r="C73">
        <v>17</v>
      </c>
      <c r="F73" s="43">
        <v>243.8</v>
      </c>
      <c r="G73" s="43">
        <v>592.66</v>
      </c>
      <c r="H73" s="87">
        <f t="shared" si="3"/>
        <v>2.0453721682847905</v>
      </c>
      <c r="I73" s="43">
        <v>803.33333333333337</v>
      </c>
      <c r="J73" s="43">
        <v>1</v>
      </c>
      <c r="K73" s="95">
        <f t="shared" si="4"/>
        <v>47</v>
      </c>
      <c r="L73" s="43">
        <v>2.9980000000000002</v>
      </c>
      <c r="M73" s="177">
        <f t="shared" si="5"/>
        <v>6.6600000000000006E-2</v>
      </c>
    </row>
    <row r="74" spans="1:13" x14ac:dyDescent="0.2">
      <c r="A74" s="43">
        <v>7.93</v>
      </c>
      <c r="B74">
        <v>18</v>
      </c>
      <c r="C74">
        <v>18</v>
      </c>
      <c r="F74" s="43">
        <v>246.47</v>
      </c>
      <c r="G74" s="43">
        <v>593.69000000000005</v>
      </c>
      <c r="H74" s="87">
        <f t="shared" si="3"/>
        <v>2.052058823529411</v>
      </c>
      <c r="I74" s="43">
        <v>803</v>
      </c>
      <c r="J74" s="43">
        <v>1</v>
      </c>
      <c r="K74" s="95">
        <f t="shared" si="4"/>
        <v>48</v>
      </c>
      <c r="L74" s="43">
        <v>2.9912000000000001</v>
      </c>
      <c r="M74" s="177">
        <f t="shared" si="5"/>
        <v>6.637333333333334E-2</v>
      </c>
    </row>
    <row r="75" spans="1:13" x14ac:dyDescent="0.2">
      <c r="A75" s="43">
        <v>8.14</v>
      </c>
      <c r="B75">
        <v>19</v>
      </c>
      <c r="C75">
        <v>19</v>
      </c>
      <c r="F75" s="43">
        <v>249.14</v>
      </c>
      <c r="G75" s="43">
        <v>594.71</v>
      </c>
      <c r="H75" s="87">
        <f t="shared" si="3"/>
        <v>2.0589768976897682</v>
      </c>
      <c r="I75" s="43">
        <v>802.66666666666663</v>
      </c>
      <c r="J75" s="43">
        <v>1</v>
      </c>
      <c r="K75" s="95">
        <f t="shared" si="4"/>
        <v>49</v>
      </c>
      <c r="L75" s="43">
        <v>2.9843999999999999</v>
      </c>
      <c r="M75" s="177">
        <f t="shared" si="5"/>
        <v>6.6146666666666659E-2</v>
      </c>
    </row>
    <row r="76" spans="1:13" x14ac:dyDescent="0.2">
      <c r="A76" s="43">
        <v>8.36</v>
      </c>
      <c r="B76">
        <v>20</v>
      </c>
      <c r="C76">
        <v>20</v>
      </c>
      <c r="F76" s="43">
        <v>251.82</v>
      </c>
      <c r="G76" s="43">
        <v>595.72</v>
      </c>
      <c r="H76" s="87">
        <f t="shared" si="3"/>
        <v>2.0661333333333336</v>
      </c>
      <c r="I76" s="43">
        <v>802.33333333333337</v>
      </c>
      <c r="J76" s="43">
        <v>1</v>
      </c>
      <c r="K76" s="95">
        <f t="shared" si="4"/>
        <v>50</v>
      </c>
      <c r="L76" s="43">
        <v>2.9776000000000002</v>
      </c>
      <c r="M76" s="177">
        <f t="shared" si="5"/>
        <v>6.5920000000000006E-2</v>
      </c>
    </row>
    <row r="77" spans="1:13" x14ac:dyDescent="0.2">
      <c r="A77" s="43">
        <v>8.59</v>
      </c>
      <c r="B77">
        <v>21</v>
      </c>
      <c r="C77">
        <v>21</v>
      </c>
      <c r="F77" s="43">
        <v>254.52</v>
      </c>
      <c r="G77" s="43">
        <v>596.73</v>
      </c>
      <c r="H77" s="87">
        <f t="shared" si="3"/>
        <v>2.0734343434343434</v>
      </c>
      <c r="I77" s="43">
        <v>802</v>
      </c>
      <c r="J77" s="43">
        <v>1</v>
      </c>
      <c r="K77" s="95">
        <f t="shared" si="4"/>
        <v>51</v>
      </c>
      <c r="L77" s="43">
        <v>2.9708000000000001</v>
      </c>
      <c r="M77" s="177">
        <f t="shared" si="5"/>
        <v>6.569333333333334E-2</v>
      </c>
    </row>
    <row r="78" spans="1:13" x14ac:dyDescent="0.2">
      <c r="A78" s="43">
        <v>8.81</v>
      </c>
      <c r="B78">
        <v>22</v>
      </c>
      <c r="C78">
        <v>22</v>
      </c>
      <c r="F78" s="43">
        <v>257.22000000000003</v>
      </c>
      <c r="G78" s="43">
        <v>597.73</v>
      </c>
      <c r="H78" s="87">
        <f t="shared" si="3"/>
        <v>2.0809863945578226</v>
      </c>
      <c r="I78" s="43">
        <v>801.66666666666663</v>
      </c>
      <c r="J78" s="43">
        <v>1</v>
      </c>
      <c r="K78" s="95">
        <f t="shared" si="4"/>
        <v>52</v>
      </c>
      <c r="L78" s="43">
        <v>2.964</v>
      </c>
      <c r="M78" s="177">
        <f t="shared" si="5"/>
        <v>6.5466666666666659E-2</v>
      </c>
    </row>
    <row r="79" spans="1:13" x14ac:dyDescent="0.2">
      <c r="A79" s="43">
        <v>9.0399999999999991</v>
      </c>
      <c r="B79">
        <v>23</v>
      </c>
      <c r="C79">
        <v>23</v>
      </c>
      <c r="F79" s="43">
        <v>257.94</v>
      </c>
      <c r="G79" s="43">
        <v>596.73</v>
      </c>
      <c r="H79" s="87">
        <f t="shared" si="3"/>
        <v>2.1093127147766326</v>
      </c>
      <c r="I79" s="43">
        <v>801.33333333333337</v>
      </c>
      <c r="J79" s="43">
        <v>1</v>
      </c>
      <c r="K79" s="95">
        <f t="shared" si="4"/>
        <v>53</v>
      </c>
      <c r="L79" s="43">
        <v>2.9572000000000003</v>
      </c>
      <c r="M79" s="177">
        <f t="shared" si="5"/>
        <v>6.5240000000000006E-2</v>
      </c>
    </row>
    <row r="80" spans="1:13" x14ac:dyDescent="0.2">
      <c r="A80" s="43">
        <v>9.2799999999999994</v>
      </c>
      <c r="B80">
        <v>24</v>
      </c>
      <c r="C80">
        <v>24</v>
      </c>
      <c r="F80" s="43">
        <v>262.67</v>
      </c>
      <c r="G80" s="43">
        <v>599.72</v>
      </c>
      <c r="H80" s="87">
        <f t="shared" si="3"/>
        <v>2.0966666666666662</v>
      </c>
      <c r="I80" s="43">
        <v>801</v>
      </c>
      <c r="J80" s="43">
        <v>1</v>
      </c>
      <c r="K80" s="95">
        <f t="shared" si="4"/>
        <v>54</v>
      </c>
      <c r="L80" s="43">
        <v>2.9504000000000001</v>
      </c>
      <c r="M80" s="177">
        <f t="shared" si="5"/>
        <v>6.501333333333334E-2</v>
      </c>
    </row>
    <row r="81" spans="1:13" x14ac:dyDescent="0.2">
      <c r="A81" s="43">
        <v>9.52</v>
      </c>
      <c r="B81">
        <v>25</v>
      </c>
      <c r="C81">
        <v>25</v>
      </c>
      <c r="F81" s="43">
        <v>265.41000000000003</v>
      </c>
      <c r="G81" s="43">
        <v>600.70000000000005</v>
      </c>
      <c r="H81" s="87">
        <f t="shared" si="3"/>
        <v>2.1049122807017535</v>
      </c>
      <c r="I81" s="43">
        <v>800.66666666666663</v>
      </c>
      <c r="J81" s="43">
        <v>1</v>
      </c>
      <c r="K81" s="95">
        <f t="shared" si="4"/>
        <v>55</v>
      </c>
      <c r="L81" s="43">
        <v>2.9436</v>
      </c>
      <c r="M81" s="177">
        <f t="shared" si="5"/>
        <v>6.4786666666666673E-2</v>
      </c>
    </row>
    <row r="82" spans="1:13" x14ac:dyDescent="0.2">
      <c r="A82" s="43">
        <v>9.76</v>
      </c>
      <c r="B82">
        <v>26</v>
      </c>
      <c r="C82">
        <v>26</v>
      </c>
      <c r="F82" s="43">
        <v>268.16000000000003</v>
      </c>
      <c r="G82" s="43">
        <v>601.67999999999995</v>
      </c>
      <c r="H82" s="87">
        <f t="shared" si="3"/>
        <v>2.1133333333333342</v>
      </c>
      <c r="I82" s="43">
        <v>800.33333333333337</v>
      </c>
      <c r="J82" s="43">
        <v>1</v>
      </c>
      <c r="K82" s="95">
        <f t="shared" si="4"/>
        <v>56</v>
      </c>
      <c r="L82" s="43">
        <v>2.9368000000000003</v>
      </c>
      <c r="M82" s="177">
        <f t="shared" si="5"/>
        <v>6.4560000000000006E-2</v>
      </c>
    </row>
    <row r="83" spans="1:13" x14ac:dyDescent="0.2">
      <c r="A83" s="43">
        <v>10.01</v>
      </c>
      <c r="B83">
        <v>27</v>
      </c>
      <c r="C83">
        <v>27</v>
      </c>
      <c r="F83" s="43">
        <v>270.92</v>
      </c>
      <c r="G83" s="43">
        <v>602.64</v>
      </c>
      <c r="H83" s="87">
        <f t="shared" si="3"/>
        <v>2.1221505376344085</v>
      </c>
      <c r="I83" s="43">
        <v>800</v>
      </c>
      <c r="J83" s="43">
        <v>1</v>
      </c>
      <c r="K83" s="95">
        <f t="shared" si="4"/>
        <v>57</v>
      </c>
      <c r="L83" s="43">
        <v>2.93</v>
      </c>
      <c r="M83" s="177">
        <f t="shared" si="5"/>
        <v>6.433333333333334E-2</v>
      </c>
    </row>
    <row r="84" spans="1:13" x14ac:dyDescent="0.2">
      <c r="A84" s="43">
        <v>10.27</v>
      </c>
      <c r="B84">
        <v>28</v>
      </c>
      <c r="C84">
        <v>28</v>
      </c>
      <c r="F84" s="43">
        <v>273.69</v>
      </c>
      <c r="G84" s="43">
        <v>603.6</v>
      </c>
      <c r="H84" s="87">
        <f t="shared" si="3"/>
        <v>2.1293478260869563</v>
      </c>
      <c r="I84" s="43">
        <v>799.5</v>
      </c>
      <c r="J84" s="43">
        <v>0.99913043478260866</v>
      </c>
      <c r="K84" s="95">
        <f t="shared" si="4"/>
        <v>58</v>
      </c>
      <c r="L84" s="43">
        <v>2.9252941176470588</v>
      </c>
      <c r="M84" s="177">
        <f t="shared" si="5"/>
        <v>6.4205456095481672E-2</v>
      </c>
    </row>
    <row r="85" spans="1:13" x14ac:dyDescent="0.2">
      <c r="A85" s="43">
        <v>10.52</v>
      </c>
      <c r="B85">
        <v>29</v>
      </c>
      <c r="C85">
        <v>29</v>
      </c>
      <c r="F85" s="43">
        <v>276.47000000000003</v>
      </c>
      <c r="G85" s="43">
        <v>604.55999999999995</v>
      </c>
      <c r="H85" s="87">
        <f t="shared" si="3"/>
        <v>2.1367032967032973</v>
      </c>
      <c r="I85" s="43">
        <v>799</v>
      </c>
      <c r="J85" s="43">
        <v>0.99826086956521742</v>
      </c>
      <c r="K85" s="95">
        <f t="shared" si="4"/>
        <v>59</v>
      </c>
      <c r="L85" s="43">
        <v>2.9205882352941179</v>
      </c>
      <c r="M85" s="177">
        <f t="shared" si="5"/>
        <v>6.4077578857630019E-2</v>
      </c>
    </row>
    <row r="86" spans="1:13" x14ac:dyDescent="0.2">
      <c r="A86" s="43">
        <v>10.79</v>
      </c>
      <c r="B86">
        <v>30</v>
      </c>
      <c r="C86">
        <v>30</v>
      </c>
      <c r="F86" s="43">
        <v>279.27</v>
      </c>
      <c r="G86" s="43">
        <v>605.5</v>
      </c>
      <c r="H86" s="87">
        <f t="shared" si="3"/>
        <v>2.1444444444444444</v>
      </c>
      <c r="I86" s="43">
        <v>798.5</v>
      </c>
      <c r="J86" s="43">
        <v>0.99739130434782608</v>
      </c>
      <c r="K86" s="95">
        <f t="shared" si="4"/>
        <v>60</v>
      </c>
      <c r="L86" s="43">
        <v>2.9158823529411766</v>
      </c>
      <c r="M86" s="177">
        <f t="shared" si="5"/>
        <v>6.3949701619778351E-2</v>
      </c>
    </row>
    <row r="87" spans="1:13" x14ac:dyDescent="0.2">
      <c r="A87" s="43">
        <v>11.06</v>
      </c>
      <c r="B87">
        <v>31</v>
      </c>
      <c r="C87">
        <v>31</v>
      </c>
      <c r="F87" s="43">
        <v>282.08</v>
      </c>
      <c r="G87" s="43">
        <v>606.44000000000005</v>
      </c>
      <c r="H87" s="87">
        <f t="shared" si="3"/>
        <v>2.1523595505617972</v>
      </c>
      <c r="I87" s="43">
        <v>798</v>
      </c>
      <c r="J87" s="43">
        <v>0.99652173913043474</v>
      </c>
      <c r="K87" s="95">
        <f t="shared" si="4"/>
        <v>61</v>
      </c>
      <c r="L87" s="43">
        <v>2.9111764705882353</v>
      </c>
      <c r="M87" s="177">
        <f t="shared" si="5"/>
        <v>6.3821824381926684E-2</v>
      </c>
    </row>
    <row r="88" spans="1:13" x14ac:dyDescent="0.2">
      <c r="A88" s="43">
        <v>11.33</v>
      </c>
      <c r="B88">
        <v>32</v>
      </c>
      <c r="C88">
        <v>32</v>
      </c>
      <c r="F88" s="43">
        <v>284.89999999999998</v>
      </c>
      <c r="G88" s="43">
        <v>607.36</v>
      </c>
      <c r="H88" s="87">
        <f t="shared" si="3"/>
        <v>2.1606818181818181</v>
      </c>
      <c r="I88" s="43">
        <v>797.5</v>
      </c>
      <c r="J88" s="43">
        <v>0.9956521739130435</v>
      </c>
      <c r="K88" s="95">
        <f t="shared" si="4"/>
        <v>62</v>
      </c>
      <c r="L88" s="43">
        <v>2.9064705882352944</v>
      </c>
      <c r="M88" s="177">
        <f t="shared" si="5"/>
        <v>6.369394714407503E-2</v>
      </c>
    </row>
    <row r="89" spans="1:13" x14ac:dyDescent="0.2">
      <c r="A89" s="43">
        <v>11.61</v>
      </c>
      <c r="B89">
        <v>33</v>
      </c>
      <c r="C89">
        <v>33</v>
      </c>
      <c r="F89" s="43">
        <v>287.73</v>
      </c>
      <c r="G89" s="43">
        <v>608.28</v>
      </c>
      <c r="H89" s="87">
        <f t="shared" si="3"/>
        <v>2.1691954022988509</v>
      </c>
      <c r="I89" s="43">
        <v>797</v>
      </c>
      <c r="J89" s="43">
        <v>0.99478260869565216</v>
      </c>
      <c r="K89" s="95">
        <f t="shared" si="4"/>
        <v>63</v>
      </c>
      <c r="L89" s="43">
        <v>2.901764705882353</v>
      </c>
      <c r="M89" s="177">
        <f t="shared" si="5"/>
        <v>6.3566069906223363E-2</v>
      </c>
    </row>
    <row r="90" spans="1:13" x14ac:dyDescent="0.2">
      <c r="A90" s="43">
        <v>11.89</v>
      </c>
      <c r="B90">
        <v>34</v>
      </c>
      <c r="C90">
        <v>34</v>
      </c>
      <c r="F90" s="43">
        <v>290.58</v>
      </c>
      <c r="G90" s="43">
        <v>609.19000000000005</v>
      </c>
      <c r="H90" s="87">
        <f t="shared" si="3"/>
        <v>2.1780232558139527</v>
      </c>
      <c r="I90" s="43">
        <v>796.5</v>
      </c>
      <c r="J90" s="43">
        <v>0.99391304347826082</v>
      </c>
      <c r="K90" s="95">
        <f t="shared" si="4"/>
        <v>64</v>
      </c>
      <c r="L90" s="43">
        <v>2.8970588235294117</v>
      </c>
      <c r="M90" s="177">
        <f t="shared" si="5"/>
        <v>6.3438192668371696E-2</v>
      </c>
    </row>
    <row r="91" spans="1:13" x14ac:dyDescent="0.2">
      <c r="A91" s="43">
        <v>12.18</v>
      </c>
      <c r="B91">
        <v>35</v>
      </c>
      <c r="C91">
        <v>35</v>
      </c>
      <c r="F91" s="43">
        <v>293.43</v>
      </c>
      <c r="G91" s="43">
        <v>610.09</v>
      </c>
      <c r="H91" s="87">
        <f t="shared" si="3"/>
        <v>2.1871764705882351</v>
      </c>
      <c r="I91" s="43">
        <v>796</v>
      </c>
      <c r="J91" s="43">
        <v>0.99304347826086958</v>
      </c>
      <c r="K91" s="95">
        <f t="shared" si="4"/>
        <v>65</v>
      </c>
      <c r="L91" s="43">
        <v>2.8923529411764708</v>
      </c>
      <c r="M91" s="177">
        <f t="shared" si="5"/>
        <v>6.3310315430520042E-2</v>
      </c>
    </row>
    <row r="92" spans="1:13" x14ac:dyDescent="0.2">
      <c r="A92" s="43">
        <v>12.47</v>
      </c>
      <c r="B92">
        <v>36</v>
      </c>
      <c r="C92">
        <v>36</v>
      </c>
      <c r="F92" s="43">
        <v>296.31</v>
      </c>
      <c r="G92" s="43">
        <v>610.96</v>
      </c>
      <c r="H92" s="87">
        <f t="shared" si="3"/>
        <v>2.1969047619047615</v>
      </c>
      <c r="I92" s="43">
        <v>795.5</v>
      </c>
      <c r="J92" s="43">
        <v>0.99217391304347824</v>
      </c>
      <c r="K92" s="95">
        <f t="shared" si="4"/>
        <v>66</v>
      </c>
      <c r="L92" s="43">
        <v>2.8876470588235295</v>
      </c>
      <c r="M92" s="177">
        <f t="shared" si="5"/>
        <v>6.3182438192668375E-2</v>
      </c>
    </row>
    <row r="93" spans="1:13" x14ac:dyDescent="0.2">
      <c r="A93" s="43">
        <v>12.77</v>
      </c>
      <c r="B93">
        <v>37</v>
      </c>
      <c r="C93">
        <v>37</v>
      </c>
      <c r="F93" s="43">
        <v>299.19</v>
      </c>
      <c r="G93" s="43">
        <v>611.86</v>
      </c>
      <c r="H93" s="87">
        <f t="shared" si="3"/>
        <v>2.2065060240963854</v>
      </c>
      <c r="I93" s="43">
        <v>795</v>
      </c>
      <c r="J93" s="43">
        <v>0.9913043478260869</v>
      </c>
      <c r="K93" s="95">
        <f t="shared" si="4"/>
        <v>67</v>
      </c>
      <c r="L93" s="43">
        <v>2.8829411764705886</v>
      </c>
      <c r="M93" s="177">
        <f t="shared" si="5"/>
        <v>6.3054560954816721E-2</v>
      </c>
    </row>
    <row r="94" spans="1:13" x14ac:dyDescent="0.2">
      <c r="A94" s="43">
        <v>13.07</v>
      </c>
      <c r="B94">
        <v>38</v>
      </c>
      <c r="C94">
        <v>38</v>
      </c>
      <c r="F94" s="43">
        <v>302.08999999999997</v>
      </c>
      <c r="G94" s="43">
        <v>612.73</v>
      </c>
      <c r="H94" s="87">
        <f t="shared" si="3"/>
        <v>2.2181144465290807</v>
      </c>
      <c r="I94" s="43">
        <v>794.61538461538464</v>
      </c>
      <c r="J94" s="43">
        <v>0.99043478260869566</v>
      </c>
      <c r="K94" s="95">
        <f t="shared" si="4"/>
        <v>68</v>
      </c>
      <c r="L94" s="43">
        <v>2.8782352941176472</v>
      </c>
      <c r="M94" s="177">
        <f t="shared" si="5"/>
        <v>6.2926683716965054E-2</v>
      </c>
    </row>
    <row r="95" spans="1:13" x14ac:dyDescent="0.2">
      <c r="A95" s="43">
        <v>13.38</v>
      </c>
      <c r="B95">
        <v>39</v>
      </c>
      <c r="C95">
        <v>39</v>
      </c>
      <c r="F95" s="43">
        <v>305</v>
      </c>
      <c r="G95" s="43">
        <v>613.59</v>
      </c>
      <c r="H95" s="87">
        <f t="shared" si="3"/>
        <v>2.230132953466287</v>
      </c>
      <c r="I95" s="43">
        <v>794.23076923076928</v>
      </c>
      <c r="J95" s="43">
        <v>0.98956521739130432</v>
      </c>
      <c r="K95" s="95">
        <f t="shared" si="4"/>
        <v>69</v>
      </c>
      <c r="L95" s="43">
        <v>2.8735294117647059</v>
      </c>
      <c r="M95" s="177">
        <f t="shared" si="5"/>
        <v>6.2798806479113387E-2</v>
      </c>
    </row>
    <row r="96" spans="1:13" x14ac:dyDescent="0.2">
      <c r="A96" s="43">
        <v>13.69</v>
      </c>
      <c r="B96">
        <v>40</v>
      </c>
      <c r="C96">
        <v>40</v>
      </c>
      <c r="F96" s="43">
        <v>307.92</v>
      </c>
      <c r="G96" s="43">
        <v>614.42999999999995</v>
      </c>
      <c r="H96" s="87">
        <f t="shared" si="3"/>
        <v>2.2427019230769232</v>
      </c>
      <c r="I96" s="43">
        <v>793.84615384615381</v>
      </c>
      <c r="J96" s="43">
        <v>0.98869565217391309</v>
      </c>
      <c r="K96" s="95">
        <f t="shared" si="4"/>
        <v>70</v>
      </c>
      <c r="L96" s="43">
        <v>2.868823529411765</v>
      </c>
      <c r="M96" s="177">
        <f t="shared" si="5"/>
        <v>6.2670929241261733E-2</v>
      </c>
    </row>
    <row r="97" spans="1:13" x14ac:dyDescent="0.2">
      <c r="A97" s="43">
        <v>14.01</v>
      </c>
      <c r="B97">
        <v>41</v>
      </c>
      <c r="C97">
        <v>41</v>
      </c>
      <c r="F97" s="43">
        <v>310.85000000000002</v>
      </c>
      <c r="G97" s="43">
        <v>615.27</v>
      </c>
      <c r="H97" s="87">
        <f t="shared" si="3"/>
        <v>2.2555890944498542</v>
      </c>
      <c r="I97" s="43">
        <v>793.46153846153845</v>
      </c>
      <c r="J97" s="43">
        <v>0.98782608695652174</v>
      </c>
      <c r="K97" s="95">
        <f t="shared" si="4"/>
        <v>71</v>
      </c>
      <c r="L97" s="43">
        <v>2.8641176470588237</v>
      </c>
      <c r="M97" s="177">
        <f t="shared" si="5"/>
        <v>6.2543052003410066E-2</v>
      </c>
    </row>
    <row r="98" spans="1:13" x14ac:dyDescent="0.2">
      <c r="A98" s="43">
        <v>14.33</v>
      </c>
      <c r="B98">
        <v>42</v>
      </c>
      <c r="C98">
        <v>42</v>
      </c>
      <c r="F98" s="43">
        <v>313.82</v>
      </c>
      <c r="G98" s="43">
        <v>616.09</v>
      </c>
      <c r="H98" s="87">
        <f t="shared" si="3"/>
        <v>2.2690631163708086</v>
      </c>
      <c r="I98" s="43">
        <v>793.07692307692309</v>
      </c>
      <c r="J98" s="43">
        <v>0.9869565217391304</v>
      </c>
      <c r="K98" s="95">
        <f t="shared" si="4"/>
        <v>72</v>
      </c>
      <c r="L98" s="43">
        <v>2.8594117647058823</v>
      </c>
      <c r="M98" s="177">
        <f t="shared" si="5"/>
        <v>6.2415174765558398E-2</v>
      </c>
    </row>
    <row r="99" spans="1:13" x14ac:dyDescent="0.2">
      <c r="A99" s="43">
        <v>14.66</v>
      </c>
      <c r="B99">
        <v>43</v>
      </c>
      <c r="C99">
        <v>43</v>
      </c>
      <c r="F99" s="43">
        <v>316.77999999999997</v>
      </c>
      <c r="G99" s="43">
        <v>616.9</v>
      </c>
      <c r="H99" s="87">
        <f t="shared" si="3"/>
        <v>2.2830169830169837</v>
      </c>
      <c r="I99" s="43">
        <v>792.69230769230774</v>
      </c>
      <c r="J99" s="43">
        <v>0.98608695652173917</v>
      </c>
      <c r="K99" s="95">
        <f t="shared" si="4"/>
        <v>73</v>
      </c>
      <c r="L99" s="43">
        <v>2.8547058823529414</v>
      </c>
      <c r="M99" s="177">
        <f t="shared" si="5"/>
        <v>6.2287297527706745E-2</v>
      </c>
    </row>
    <row r="100" spans="1:13" x14ac:dyDescent="0.2">
      <c r="A100" s="43">
        <v>15</v>
      </c>
      <c r="B100">
        <v>44</v>
      </c>
      <c r="C100">
        <v>44</v>
      </c>
      <c r="F100" s="43">
        <v>319.77</v>
      </c>
      <c r="G100" s="43">
        <v>617.70000000000005</v>
      </c>
      <c r="H100" s="87">
        <f t="shared" si="3"/>
        <v>2.2974696356275293</v>
      </c>
      <c r="I100" s="43">
        <v>792.30769230769226</v>
      </c>
      <c r="J100" s="43">
        <v>0.98521739130434782</v>
      </c>
      <c r="K100" s="95">
        <f t="shared" si="4"/>
        <v>74</v>
      </c>
      <c r="L100" s="43">
        <v>2.85</v>
      </c>
      <c r="M100" s="177">
        <f t="shared" si="5"/>
        <v>6.2159420289855077E-2</v>
      </c>
    </row>
    <row r="101" spans="1:13" x14ac:dyDescent="0.2">
      <c r="A101" s="43">
        <v>15.34</v>
      </c>
      <c r="B101">
        <v>45</v>
      </c>
      <c r="C101">
        <v>45</v>
      </c>
      <c r="F101" s="43">
        <v>322.75</v>
      </c>
      <c r="G101" s="43">
        <v>618.48</v>
      </c>
      <c r="H101" s="87">
        <f t="shared" si="3"/>
        <v>2.3125743589743584</v>
      </c>
      <c r="I101" s="43">
        <v>791.92307692307691</v>
      </c>
      <c r="J101" s="43">
        <v>0.98434782608695648</v>
      </c>
      <c r="K101" s="95">
        <f t="shared" si="4"/>
        <v>75</v>
      </c>
      <c r="L101" s="43">
        <v>2.85</v>
      </c>
      <c r="M101" s="177">
        <f t="shared" si="5"/>
        <v>6.2188405797101456E-2</v>
      </c>
    </row>
    <row r="102" spans="1:13" x14ac:dyDescent="0.2">
      <c r="A102" s="43">
        <v>15.69</v>
      </c>
      <c r="B102">
        <v>46</v>
      </c>
      <c r="C102">
        <v>46</v>
      </c>
      <c r="F102" s="43">
        <v>325.77999999999997</v>
      </c>
      <c r="G102" s="43">
        <v>619.25</v>
      </c>
      <c r="H102" s="87">
        <f t="shared" si="3"/>
        <v>2.3282224532224531</v>
      </c>
      <c r="I102" s="43">
        <v>791.53846153846155</v>
      </c>
      <c r="J102" s="43">
        <v>0.98347826086956525</v>
      </c>
      <c r="K102" s="95">
        <f t="shared" si="4"/>
        <v>76</v>
      </c>
      <c r="L102" s="43">
        <v>2.85</v>
      </c>
      <c r="M102" s="177">
        <f t="shared" si="5"/>
        <v>6.2217391304347822E-2</v>
      </c>
    </row>
    <row r="103" spans="1:13" x14ac:dyDescent="0.2">
      <c r="A103" s="43">
        <v>16.04</v>
      </c>
      <c r="B103">
        <v>47</v>
      </c>
      <c r="C103">
        <v>47</v>
      </c>
      <c r="F103" s="43">
        <v>328.81</v>
      </c>
      <c r="G103" s="43">
        <v>620.01</v>
      </c>
      <c r="H103" s="87">
        <f t="shared" si="3"/>
        <v>2.3444362486828245</v>
      </c>
      <c r="I103" s="43">
        <v>791.15384615384619</v>
      </c>
      <c r="J103" s="43">
        <v>0.9826086956521739</v>
      </c>
      <c r="K103" s="95">
        <f t="shared" si="4"/>
        <v>77</v>
      </c>
      <c r="L103" s="43">
        <v>2.85</v>
      </c>
      <c r="M103" s="177">
        <f t="shared" si="5"/>
        <v>6.2246376811594201E-2</v>
      </c>
    </row>
    <row r="104" spans="1:13" x14ac:dyDescent="0.2">
      <c r="A104" s="43">
        <v>16.399999999999999</v>
      </c>
      <c r="B104">
        <v>48</v>
      </c>
      <c r="C104">
        <v>48</v>
      </c>
      <c r="F104" s="43">
        <v>331.85</v>
      </c>
      <c r="G104" s="43">
        <v>620.75</v>
      </c>
      <c r="H104" s="87">
        <f t="shared" si="3"/>
        <v>2.3613782051282044</v>
      </c>
      <c r="I104" s="43">
        <v>790.76923076923072</v>
      </c>
      <c r="J104" s="43">
        <v>0.98173913043478256</v>
      </c>
      <c r="K104" s="95">
        <f t="shared" si="4"/>
        <v>78</v>
      </c>
      <c r="L104" s="43">
        <v>2.85</v>
      </c>
      <c r="M104" s="177">
        <f t="shared" si="5"/>
        <v>6.227536231884058E-2</v>
      </c>
    </row>
    <row r="105" spans="1:13" x14ac:dyDescent="0.2">
      <c r="A105" s="43">
        <v>16.760000000000002</v>
      </c>
      <c r="B105">
        <v>49</v>
      </c>
      <c r="C105">
        <v>49</v>
      </c>
      <c r="F105" s="43">
        <v>334.91</v>
      </c>
      <c r="G105" s="43">
        <v>621.47</v>
      </c>
      <c r="H105" s="87">
        <f t="shared" si="3"/>
        <v>2.3790790899241596</v>
      </c>
      <c r="I105" s="43">
        <v>790.38461538461536</v>
      </c>
      <c r="J105" s="43">
        <v>0.98086956521739133</v>
      </c>
      <c r="K105" s="95">
        <f t="shared" si="4"/>
        <v>79</v>
      </c>
      <c r="L105" s="43">
        <v>2.85</v>
      </c>
      <c r="M105" s="177">
        <f t="shared" si="5"/>
        <v>6.2304347826086959E-2</v>
      </c>
    </row>
    <row r="106" spans="1:13" x14ac:dyDescent="0.2">
      <c r="A106" s="43">
        <v>17.13</v>
      </c>
      <c r="B106">
        <v>50</v>
      </c>
      <c r="C106">
        <v>50</v>
      </c>
      <c r="F106" s="43">
        <v>337.99</v>
      </c>
      <c r="G106" s="43">
        <v>622.17999999999995</v>
      </c>
      <c r="H106" s="87">
        <f t="shared" si="3"/>
        <v>2.3974285714285721</v>
      </c>
      <c r="I106" s="43">
        <v>790</v>
      </c>
      <c r="J106" s="43">
        <v>0.98</v>
      </c>
      <c r="K106" s="95">
        <f t="shared" si="4"/>
        <v>80</v>
      </c>
      <c r="L106" s="43">
        <v>2.85</v>
      </c>
      <c r="M106" s="177">
        <f t="shared" si="5"/>
        <v>6.2333333333333338E-2</v>
      </c>
    </row>
    <row r="107" spans="1:13" x14ac:dyDescent="0.2">
      <c r="A107" s="43"/>
      <c r="F107" s="43"/>
      <c r="G107" s="43"/>
      <c r="H107" s="87"/>
      <c r="I107" s="43"/>
      <c r="J107" s="43"/>
      <c r="K107" s="95"/>
      <c r="L107" s="43"/>
      <c r="M107" s="177"/>
    </row>
    <row r="108" spans="1:13" x14ac:dyDescent="0.2">
      <c r="A108" s="43"/>
      <c r="F108" s="43"/>
      <c r="G108" s="43"/>
      <c r="H108" s="87"/>
      <c r="I108" s="43"/>
      <c r="J108" s="43"/>
      <c r="K108" s="95"/>
      <c r="L108" s="43"/>
      <c r="M108" s="177"/>
    </row>
    <row r="109" spans="1:13" x14ac:dyDescent="0.2">
      <c r="A109" s="43"/>
      <c r="F109" s="43"/>
      <c r="G109" s="43"/>
      <c r="H109" s="87"/>
      <c r="J109" s="43"/>
      <c r="K109" s="95"/>
      <c r="L109" s="43"/>
      <c r="M109" s="177"/>
    </row>
    <row r="110" spans="1:13" x14ac:dyDescent="0.2">
      <c r="A110" s="43"/>
      <c r="F110" s="43"/>
      <c r="G110" s="43"/>
      <c r="H110" s="87"/>
      <c r="I110" s="43"/>
      <c r="J110" s="43"/>
      <c r="K110" s="95"/>
      <c r="L110" s="43"/>
      <c r="M110" s="177"/>
    </row>
    <row r="111" spans="1:13" ht="15" x14ac:dyDescent="0.2">
      <c r="A111" s="172">
        <v>19.07</v>
      </c>
      <c r="B111" s="173"/>
      <c r="C111" s="174"/>
      <c r="F111" s="176"/>
      <c r="G111" s="176"/>
      <c r="H111" s="78"/>
      <c r="I111" s="175"/>
      <c r="J111" s="43"/>
      <c r="K111" s="79"/>
      <c r="L111" s="43"/>
      <c r="M111" s="177"/>
    </row>
    <row r="112" spans="1:13" ht="15" x14ac:dyDescent="0.2">
      <c r="A112" s="172"/>
      <c r="B112" s="173"/>
      <c r="C112" s="174"/>
      <c r="F112" s="176"/>
      <c r="G112" s="176"/>
      <c r="H112" s="78"/>
      <c r="I112" s="175"/>
      <c r="J112" s="43"/>
      <c r="K112" s="79"/>
      <c r="L112" s="43"/>
      <c r="M112" s="177"/>
    </row>
    <row r="113" spans="1:13" ht="15" x14ac:dyDescent="0.2">
      <c r="A113" s="172"/>
      <c r="B113" s="173"/>
      <c r="C113" s="174"/>
      <c r="F113" s="176"/>
      <c r="G113" s="176"/>
      <c r="H113" s="78"/>
      <c r="I113" s="175"/>
      <c r="J113" s="43"/>
      <c r="K113" s="79"/>
      <c r="L113" s="43"/>
      <c r="M113" s="177"/>
    </row>
    <row r="114" spans="1:13" ht="15" x14ac:dyDescent="0.2">
      <c r="A114" s="172"/>
      <c r="B114" s="173"/>
      <c r="C114" s="174"/>
      <c r="F114" s="176"/>
      <c r="G114" s="176"/>
      <c r="H114" s="78"/>
      <c r="I114" s="175"/>
      <c r="J114" s="43"/>
      <c r="K114" s="79"/>
      <c r="L114" s="43"/>
      <c r="M114" s="177"/>
    </row>
    <row r="115" spans="1:13" ht="15" x14ac:dyDescent="0.2">
      <c r="A115" s="172"/>
      <c r="B115" s="173"/>
      <c r="C115" s="174"/>
      <c r="F115" s="176"/>
      <c r="G115" s="176"/>
      <c r="H115" s="78"/>
      <c r="I115" s="175"/>
      <c r="J115" s="43"/>
      <c r="K115" s="79"/>
      <c r="L115" s="43"/>
      <c r="M115" s="177"/>
    </row>
    <row r="116" spans="1:13" ht="15" x14ac:dyDescent="0.2">
      <c r="A116" s="172"/>
      <c r="B116" s="173"/>
      <c r="C116" s="174"/>
      <c r="F116" s="176"/>
      <c r="G116" s="176"/>
      <c r="H116" s="78"/>
      <c r="I116" s="175"/>
      <c r="J116" s="43"/>
      <c r="K116" s="79"/>
      <c r="L116" s="43"/>
      <c r="M116" s="177"/>
    </row>
    <row r="117" spans="1:13" ht="15" x14ac:dyDescent="0.2">
      <c r="A117" s="172"/>
      <c r="B117" s="173"/>
      <c r="C117" s="174"/>
      <c r="F117" s="176"/>
      <c r="G117" s="75"/>
      <c r="H117" s="78"/>
      <c r="I117" s="43"/>
      <c r="J117" s="43"/>
      <c r="K117" s="79"/>
      <c r="L117" s="43"/>
      <c r="M117" s="177"/>
    </row>
    <row r="118" spans="1:13" ht="14.25" x14ac:dyDescent="0.2">
      <c r="A118" s="71"/>
      <c r="B118" s="72"/>
      <c r="C118" s="73"/>
      <c r="F118" s="75"/>
      <c r="G118" s="75"/>
      <c r="H118" s="78"/>
      <c r="I118" s="43"/>
      <c r="J118" s="43"/>
      <c r="K118"/>
      <c r="L118" s="43"/>
      <c r="M118" s="177"/>
    </row>
    <row r="119" spans="1:13" ht="14.25" x14ac:dyDescent="0.2">
      <c r="A119" s="71"/>
      <c r="B119" s="72"/>
      <c r="C119" s="73"/>
      <c r="F119" s="75"/>
      <c r="G119" s="75"/>
      <c r="H119" s="78"/>
      <c r="I119" s="43"/>
      <c r="J119" s="43"/>
      <c r="K119"/>
      <c r="L119" s="43"/>
      <c r="M119" s="177"/>
    </row>
    <row r="120" spans="1:13" ht="14.25" x14ac:dyDescent="0.2">
      <c r="A120" s="71"/>
      <c r="B120" s="72"/>
      <c r="C120" s="73"/>
      <c r="F120" s="75"/>
      <c r="G120" s="75"/>
      <c r="I120" s="78"/>
      <c r="K120"/>
      <c r="L120" s="43"/>
      <c r="M120" s="97"/>
    </row>
    <row r="121" spans="1:13" ht="14.25" x14ac:dyDescent="0.2">
      <c r="A121" s="71"/>
      <c r="B121" s="72"/>
      <c r="C121" s="73"/>
      <c r="F121" s="75"/>
      <c r="G121" s="75"/>
      <c r="H121" s="78"/>
      <c r="I121" s="43"/>
      <c r="J121" s="44"/>
      <c r="K121" s="95"/>
      <c r="L121" s="44"/>
      <c r="M121" s="97"/>
    </row>
    <row r="122" spans="1:13" ht="14.25" x14ac:dyDescent="0.2">
      <c r="A122" s="71"/>
      <c r="B122" s="72"/>
      <c r="C122" s="73"/>
      <c r="F122" s="75"/>
      <c r="G122" s="75"/>
      <c r="H122" s="78"/>
      <c r="I122" s="79"/>
    </row>
    <row r="123" spans="1:13" ht="14.25" x14ac:dyDescent="0.2">
      <c r="A123" s="71"/>
      <c r="B123" s="72"/>
      <c r="C123" s="73"/>
      <c r="F123" s="75"/>
      <c r="G123" s="75"/>
      <c r="H123" s="78"/>
      <c r="I123" s="79"/>
    </row>
    <row r="124" spans="1:13" ht="14.25" x14ac:dyDescent="0.2">
      <c r="A124" s="71"/>
      <c r="B124" s="72"/>
      <c r="C124" s="73"/>
      <c r="F124" s="75"/>
      <c r="G124" s="75"/>
      <c r="H124" s="78"/>
      <c r="I124" s="79"/>
    </row>
    <row r="125" spans="1:13" ht="14.25" x14ac:dyDescent="0.2">
      <c r="A125" s="71"/>
      <c r="B125" s="72"/>
      <c r="C125" s="73"/>
      <c r="F125" s="75"/>
      <c r="G125" s="75"/>
      <c r="H125" s="78"/>
      <c r="I125" s="79"/>
    </row>
    <row r="126" spans="1:13" ht="14.25" x14ac:dyDescent="0.2">
      <c r="A126" s="71"/>
      <c r="B126" s="73"/>
      <c r="C126" s="73"/>
      <c r="F126" s="75"/>
      <c r="G126" s="75"/>
      <c r="H126" s="78"/>
      <c r="I126" s="79"/>
    </row>
    <row r="127" spans="1:13" ht="14.25" x14ac:dyDescent="0.2">
      <c r="A127" s="71"/>
      <c r="B127" s="73"/>
      <c r="C127" s="73"/>
      <c r="F127" s="75"/>
      <c r="G127" s="75"/>
      <c r="H127" s="78"/>
      <c r="I127" s="79"/>
    </row>
    <row r="128" spans="1:13" ht="14.25" x14ac:dyDescent="0.2">
      <c r="A128" s="71"/>
      <c r="B128" s="73"/>
      <c r="C128" s="73"/>
      <c r="F128" s="75"/>
      <c r="G128" s="75"/>
      <c r="H128" s="78"/>
      <c r="I128" s="79"/>
    </row>
    <row r="129" spans="1:9" ht="14.25" x14ac:dyDescent="0.2">
      <c r="A129" s="71"/>
      <c r="B129" s="73"/>
      <c r="C129" s="73"/>
      <c r="F129" s="75"/>
      <c r="G129" s="75"/>
      <c r="H129" s="78"/>
      <c r="I129" s="79"/>
    </row>
    <row r="130" spans="1:9" ht="14.25" x14ac:dyDescent="0.2">
      <c r="A130" s="71"/>
      <c r="B130" s="72"/>
      <c r="C130" s="72"/>
      <c r="F130" s="71"/>
      <c r="G130" s="71"/>
      <c r="H130" s="78"/>
      <c r="I130" s="79"/>
    </row>
    <row r="131" spans="1:9" ht="14.25" x14ac:dyDescent="0.2">
      <c r="A131" s="71"/>
      <c r="B131" s="73"/>
      <c r="C131" s="73"/>
      <c r="F131" s="75"/>
      <c r="G131" s="75"/>
      <c r="H131" s="78"/>
      <c r="I131" s="79"/>
    </row>
    <row r="132" spans="1:9" ht="14.25" x14ac:dyDescent="0.2">
      <c r="A132" s="71"/>
      <c r="B132" s="73"/>
      <c r="C132" s="73"/>
      <c r="F132" s="75"/>
      <c r="G132" s="75"/>
      <c r="H132" s="78"/>
      <c r="I132" s="79"/>
    </row>
    <row r="133" spans="1:9" ht="14.25" x14ac:dyDescent="0.2">
      <c r="A133" s="71"/>
      <c r="B133" s="73"/>
      <c r="C133" s="73"/>
      <c r="F133" s="75"/>
      <c r="G133" s="75"/>
      <c r="H133" s="78"/>
      <c r="I133" s="79"/>
    </row>
    <row r="134" spans="1:9" ht="14.25" x14ac:dyDescent="0.2">
      <c r="A134" s="71"/>
      <c r="B134" s="73"/>
      <c r="C134" s="73"/>
      <c r="F134" s="75"/>
      <c r="G134" s="75"/>
      <c r="H134" s="78"/>
      <c r="I134" s="79"/>
    </row>
    <row r="135" spans="1:9" ht="14.25" x14ac:dyDescent="0.2">
      <c r="A135" s="71"/>
      <c r="B135" s="73"/>
      <c r="C135" s="73"/>
      <c r="F135" s="75"/>
      <c r="G135" s="75"/>
      <c r="H135" s="78"/>
      <c r="I135" s="79"/>
    </row>
    <row r="136" spans="1:9" ht="14.25" x14ac:dyDescent="0.2">
      <c r="A136" s="71"/>
      <c r="B136" s="73"/>
      <c r="C136" s="73"/>
      <c r="F136" s="75"/>
      <c r="G136" s="75"/>
      <c r="H136" s="78"/>
      <c r="I136" s="79"/>
    </row>
    <row r="137" spans="1:9" ht="14.25" x14ac:dyDescent="0.2">
      <c r="A137" s="71"/>
      <c r="B137" s="73"/>
      <c r="C137" s="73"/>
      <c r="F137" s="75"/>
      <c r="G137" s="75"/>
      <c r="H137" s="78"/>
      <c r="I137" s="79"/>
    </row>
    <row r="138" spans="1:9" ht="14.25" x14ac:dyDescent="0.2">
      <c r="A138" s="71"/>
      <c r="B138" s="73"/>
      <c r="C138" s="73"/>
      <c r="F138" s="75"/>
      <c r="G138" s="75"/>
      <c r="H138" s="78"/>
      <c r="I138" s="79"/>
    </row>
    <row r="139" spans="1:9" ht="14.25" x14ac:dyDescent="0.2">
      <c r="A139" s="71"/>
      <c r="B139" s="73"/>
      <c r="C139" s="73"/>
      <c r="F139" s="75"/>
      <c r="G139" s="75"/>
      <c r="H139" s="78"/>
      <c r="I139" s="79"/>
    </row>
    <row r="140" spans="1:9" ht="14.25" x14ac:dyDescent="0.2">
      <c r="A140" s="71"/>
      <c r="B140" s="73"/>
      <c r="C140" s="73"/>
      <c r="F140" s="75"/>
      <c r="G140" s="75"/>
      <c r="H140" s="78"/>
      <c r="I140" s="79"/>
    </row>
    <row r="141" spans="1:9" ht="14.25" x14ac:dyDescent="0.2">
      <c r="A141" s="71"/>
      <c r="B141" s="73"/>
      <c r="C141" s="73"/>
      <c r="F141" s="75"/>
      <c r="G141" s="75"/>
      <c r="H141" s="78"/>
      <c r="I141" s="79"/>
    </row>
    <row r="142" spans="1:9" ht="14.25" x14ac:dyDescent="0.2">
      <c r="A142" s="71"/>
      <c r="B142" s="73"/>
      <c r="C142" s="73"/>
      <c r="F142" s="75"/>
      <c r="G142" s="75"/>
      <c r="H142" s="78"/>
      <c r="I142" s="79"/>
    </row>
    <row r="143" spans="1:9" ht="14.25" x14ac:dyDescent="0.2">
      <c r="A143" s="71"/>
      <c r="B143" s="73"/>
      <c r="C143" s="73"/>
      <c r="F143" s="75"/>
      <c r="G143" s="75"/>
      <c r="H143" s="78"/>
      <c r="I143" s="79"/>
    </row>
    <row r="144" spans="1:9" ht="14.25" x14ac:dyDescent="0.2">
      <c r="A144" s="71"/>
      <c r="B144" s="73"/>
      <c r="C144" s="73"/>
      <c r="F144" s="75"/>
      <c r="G144" s="75"/>
      <c r="H144" s="78"/>
      <c r="I144" s="79"/>
    </row>
    <row r="145" spans="1:9" ht="14.25" x14ac:dyDescent="0.2">
      <c r="A145" s="71"/>
      <c r="B145" s="73"/>
      <c r="C145" s="73"/>
      <c r="F145" s="75"/>
      <c r="G145" s="75"/>
      <c r="H145" s="78"/>
      <c r="I145" s="79"/>
    </row>
    <row r="146" spans="1:9" ht="14.25" x14ac:dyDescent="0.2">
      <c r="A146" s="71"/>
      <c r="B146" s="73"/>
      <c r="C146" s="73"/>
      <c r="F146" s="75"/>
      <c r="G146" s="75"/>
      <c r="H146" s="78"/>
      <c r="I146" s="79"/>
    </row>
    <row r="147" spans="1:9" ht="14.25" x14ac:dyDescent="0.2">
      <c r="A147" s="71"/>
      <c r="B147" s="73"/>
      <c r="C147" s="73"/>
      <c r="F147" s="75"/>
      <c r="G147" s="75"/>
      <c r="H147" s="78"/>
      <c r="I147" s="79"/>
    </row>
    <row r="148" spans="1:9" ht="14.25" x14ac:dyDescent="0.2">
      <c r="A148" s="71"/>
      <c r="B148" s="73"/>
      <c r="C148" s="73"/>
      <c r="F148" s="75"/>
      <c r="G148" s="75"/>
      <c r="H148" s="78"/>
      <c r="I148" s="79"/>
    </row>
    <row r="149" spans="1:9" ht="14.25" x14ac:dyDescent="0.2">
      <c r="A149" s="71"/>
      <c r="B149" s="73"/>
      <c r="C149" s="73"/>
      <c r="F149" s="75"/>
      <c r="G149" s="75"/>
      <c r="H149" s="78"/>
      <c r="I149" s="79"/>
    </row>
    <row r="150" spans="1:9" ht="14.25" x14ac:dyDescent="0.2">
      <c r="A150" s="71"/>
      <c r="B150" s="73"/>
      <c r="C150" s="73"/>
      <c r="F150" s="75"/>
      <c r="G150" s="75"/>
      <c r="H150" s="78"/>
      <c r="I150" s="79"/>
    </row>
    <row r="151" spans="1:9" ht="14.25" x14ac:dyDescent="0.2">
      <c r="A151" s="71"/>
      <c r="B151" s="73"/>
      <c r="C151" s="73"/>
      <c r="F151" s="75"/>
      <c r="G151" s="75"/>
      <c r="H151" s="78"/>
      <c r="I151" s="79"/>
    </row>
    <row r="152" spans="1:9" ht="14.25" x14ac:dyDescent="0.2">
      <c r="A152" s="71"/>
      <c r="B152" s="73"/>
      <c r="C152" s="73"/>
      <c r="F152" s="75"/>
      <c r="G152" s="75"/>
      <c r="H152" s="78"/>
      <c r="I152" s="79"/>
    </row>
    <row r="153" spans="1:9" ht="14.25" x14ac:dyDescent="0.2">
      <c r="A153" s="71"/>
      <c r="B153" s="73"/>
      <c r="C153" s="73"/>
      <c r="F153" s="75"/>
      <c r="G153" s="75"/>
      <c r="H153" s="78"/>
      <c r="I153" s="79"/>
    </row>
    <row r="154" spans="1:9" ht="14.25" x14ac:dyDescent="0.2">
      <c r="A154" s="71"/>
      <c r="B154" s="73"/>
      <c r="C154" s="73"/>
      <c r="F154" s="75"/>
      <c r="G154" s="75"/>
      <c r="H154" s="78"/>
      <c r="I154" s="79"/>
    </row>
    <row r="155" spans="1:9" ht="14.25" x14ac:dyDescent="0.2">
      <c r="A155" s="71"/>
      <c r="B155" s="73"/>
      <c r="C155" s="73"/>
      <c r="F155" s="75"/>
      <c r="G155" s="75"/>
      <c r="H155" s="78"/>
      <c r="I155" s="79"/>
    </row>
    <row r="156" spans="1:9" ht="14.25" x14ac:dyDescent="0.2">
      <c r="A156" s="71"/>
      <c r="B156" s="73"/>
      <c r="C156" s="73"/>
      <c r="F156" s="75"/>
      <c r="G156" s="75"/>
      <c r="H156" s="78"/>
      <c r="I156" s="79"/>
    </row>
    <row r="157" spans="1:9" ht="14.25" x14ac:dyDescent="0.2">
      <c r="A157" s="71"/>
      <c r="B157" s="73"/>
      <c r="C157" s="73"/>
      <c r="F157" s="75"/>
      <c r="G157" s="75"/>
      <c r="H157" s="78"/>
      <c r="I157" s="79"/>
    </row>
    <row r="158" spans="1:9" ht="14.25" x14ac:dyDescent="0.2">
      <c r="A158" s="71"/>
      <c r="B158" s="73"/>
      <c r="C158" s="73"/>
      <c r="F158" s="75"/>
      <c r="G158" s="75"/>
      <c r="H158" s="78"/>
      <c r="I158" s="79"/>
    </row>
    <row r="159" spans="1:9" ht="14.25" x14ac:dyDescent="0.2">
      <c r="A159" s="71"/>
      <c r="B159" s="73"/>
      <c r="C159" s="73"/>
      <c r="F159" s="75"/>
      <c r="G159" s="75"/>
      <c r="H159" s="78"/>
      <c r="I159" s="79"/>
    </row>
    <row r="160" spans="1:9" ht="14.25" x14ac:dyDescent="0.2">
      <c r="A160" s="71"/>
      <c r="B160" s="73"/>
      <c r="C160" s="73"/>
      <c r="F160" s="75"/>
      <c r="G160" s="75"/>
      <c r="H160" s="78"/>
      <c r="I160" s="79"/>
    </row>
    <row r="161" spans="1:9" ht="14.25" x14ac:dyDescent="0.2">
      <c r="A161" s="71"/>
      <c r="B161" s="73"/>
      <c r="C161" s="73"/>
      <c r="F161" s="75"/>
      <c r="G161" s="75"/>
      <c r="H161" s="78"/>
      <c r="I161" s="79"/>
    </row>
    <row r="162" spans="1:9" ht="14.25" x14ac:dyDescent="0.2">
      <c r="A162" s="71"/>
      <c r="B162" s="73"/>
      <c r="C162" s="73"/>
      <c r="F162" s="75"/>
      <c r="G162" s="75"/>
      <c r="H162" s="78"/>
      <c r="I162" s="79"/>
    </row>
    <row r="163" spans="1:9" ht="14.25" x14ac:dyDescent="0.2">
      <c r="A163" s="71"/>
      <c r="B163" s="73"/>
      <c r="C163" s="73"/>
      <c r="F163" s="75"/>
      <c r="G163" s="75"/>
      <c r="H163" s="78"/>
      <c r="I163" s="79"/>
    </row>
    <row r="164" spans="1:9" ht="14.25" x14ac:dyDescent="0.2">
      <c r="A164" s="71"/>
      <c r="B164" s="73"/>
      <c r="C164" s="73"/>
      <c r="F164" s="75"/>
      <c r="G164" s="75"/>
      <c r="H164" s="78"/>
      <c r="I164" s="79"/>
    </row>
    <row r="165" spans="1:9" ht="14.25" x14ac:dyDescent="0.2">
      <c r="A165" s="71"/>
      <c r="B165" s="73"/>
      <c r="C165" s="73"/>
      <c r="F165" s="75"/>
      <c r="G165" s="75"/>
      <c r="H165" s="78"/>
      <c r="I165" s="79"/>
    </row>
    <row r="166" spans="1:9" ht="14.25" x14ac:dyDescent="0.2">
      <c r="A166" s="71"/>
      <c r="B166" s="73"/>
      <c r="C166" s="73"/>
      <c r="F166" s="75"/>
      <c r="G166" s="75"/>
      <c r="H166" s="78"/>
      <c r="I166" s="79"/>
    </row>
    <row r="167" spans="1:9" ht="14.25" x14ac:dyDescent="0.2">
      <c r="A167" s="71"/>
      <c r="B167" s="73"/>
      <c r="C167" s="73"/>
      <c r="F167" s="75"/>
      <c r="G167" s="75"/>
      <c r="H167" s="78"/>
      <c r="I167" s="79"/>
    </row>
    <row r="168" spans="1:9" ht="14.25" x14ac:dyDescent="0.2">
      <c r="A168" s="71"/>
      <c r="B168" s="73"/>
      <c r="C168" s="73"/>
      <c r="F168" s="75"/>
      <c r="G168" s="75"/>
      <c r="H168" s="78"/>
      <c r="I168" s="79"/>
    </row>
    <row r="169" spans="1:9" ht="14.25" x14ac:dyDescent="0.2">
      <c r="A169" s="71"/>
      <c r="B169" s="73"/>
      <c r="C169" s="73"/>
      <c r="F169" s="75"/>
      <c r="G169" s="75"/>
      <c r="H169" s="78"/>
      <c r="I169" s="79"/>
    </row>
    <row r="170" spans="1:9" ht="14.25" x14ac:dyDescent="0.2">
      <c r="A170" s="71"/>
      <c r="B170" s="73"/>
      <c r="C170" s="73"/>
      <c r="F170" s="75"/>
      <c r="G170" s="75"/>
      <c r="H170" s="78"/>
      <c r="I170" s="79"/>
    </row>
    <row r="171" spans="1:9" ht="14.25" x14ac:dyDescent="0.2">
      <c r="A171" s="71"/>
      <c r="B171" s="73"/>
      <c r="C171" s="73"/>
      <c r="F171" s="75"/>
      <c r="G171" s="75"/>
      <c r="H171" s="78"/>
      <c r="I171" s="79"/>
    </row>
    <row r="172" spans="1:9" ht="14.25" x14ac:dyDescent="0.2">
      <c r="A172" s="71"/>
      <c r="B172" s="73"/>
      <c r="C172" s="73"/>
      <c r="F172" s="75"/>
      <c r="G172" s="75"/>
      <c r="H172" s="78"/>
      <c r="I172" s="79"/>
    </row>
    <row r="173" spans="1:9" ht="14.25" x14ac:dyDescent="0.2">
      <c r="A173" s="71"/>
      <c r="B173" s="73"/>
      <c r="C173" s="73"/>
      <c r="F173" s="75"/>
      <c r="G173" s="75"/>
      <c r="H173" s="78"/>
      <c r="I173" s="79"/>
    </row>
    <row r="174" spans="1:9" ht="14.25" x14ac:dyDescent="0.2">
      <c r="A174" s="71"/>
      <c r="B174" s="73"/>
      <c r="C174" s="73"/>
      <c r="F174" s="75"/>
      <c r="G174" s="75"/>
      <c r="H174" s="78"/>
      <c r="I174" s="79"/>
    </row>
    <row r="175" spans="1:9" ht="14.25" x14ac:dyDescent="0.2">
      <c r="A175" s="71"/>
      <c r="B175" s="73"/>
      <c r="C175" s="73"/>
      <c r="F175" s="75"/>
      <c r="G175" s="75"/>
      <c r="H175" s="78"/>
      <c r="I175" s="79"/>
    </row>
    <row r="176" spans="1:9" ht="14.25" x14ac:dyDescent="0.2">
      <c r="A176" s="71"/>
      <c r="B176" s="73"/>
      <c r="C176" s="73"/>
      <c r="F176" s="75"/>
      <c r="G176" s="75"/>
      <c r="H176" s="78"/>
      <c r="I176" s="79"/>
    </row>
    <row r="177" spans="1:9" ht="14.25" x14ac:dyDescent="0.2">
      <c r="A177" s="71"/>
      <c r="B177" s="74"/>
      <c r="C177" s="74"/>
      <c r="F177" s="76"/>
      <c r="G177" s="76"/>
      <c r="H177" s="78"/>
      <c r="I177" s="79"/>
    </row>
    <row r="178" spans="1:9" ht="14.25" x14ac:dyDescent="0.2">
      <c r="A178" s="71"/>
      <c r="B178" s="74"/>
      <c r="C178" s="74"/>
      <c r="F178" s="76"/>
      <c r="G178" s="76"/>
      <c r="H178" s="78"/>
      <c r="I178" s="79"/>
    </row>
    <row r="179" spans="1:9" ht="14.25" x14ac:dyDescent="0.2">
      <c r="A179" s="71"/>
      <c r="B179" s="74"/>
      <c r="C179" s="74"/>
      <c r="F179" s="76"/>
      <c r="G179" s="76"/>
      <c r="H179" s="78"/>
      <c r="I179" s="79"/>
    </row>
    <row r="180" spans="1:9" ht="14.25" x14ac:dyDescent="0.2">
      <c r="A180" s="71"/>
      <c r="B180" s="74"/>
      <c r="C180" s="74"/>
      <c r="F180" s="76"/>
      <c r="G180" s="76"/>
      <c r="H180" s="78"/>
      <c r="I180" s="79"/>
    </row>
    <row r="181" spans="1:9" ht="14.25" x14ac:dyDescent="0.2">
      <c r="A181" s="71"/>
      <c r="B181" s="74"/>
      <c r="C181" s="74"/>
      <c r="F181" s="76"/>
      <c r="G181" s="76"/>
      <c r="H181" s="78"/>
      <c r="I181" s="79"/>
    </row>
    <row r="182" spans="1:9" ht="14.25" x14ac:dyDescent="0.2">
      <c r="A182" s="71"/>
      <c r="B182" s="74"/>
      <c r="C182" s="74"/>
      <c r="F182" s="76"/>
      <c r="G182" s="76"/>
      <c r="H182" s="78"/>
      <c r="I182" s="79"/>
    </row>
    <row r="183" spans="1:9" ht="14.25" x14ac:dyDescent="0.2">
      <c r="A183" s="71"/>
      <c r="B183" s="74"/>
      <c r="C183" s="74"/>
      <c r="F183" s="76"/>
      <c r="G183" s="76"/>
      <c r="H183" s="78"/>
      <c r="I183" s="79"/>
    </row>
    <row r="184" spans="1:9" ht="14.25" x14ac:dyDescent="0.2">
      <c r="A184" s="71"/>
      <c r="B184" s="74"/>
      <c r="C184" s="74"/>
      <c r="F184" s="76"/>
      <c r="G184" s="76"/>
      <c r="H184" s="78"/>
      <c r="I184" s="79"/>
    </row>
    <row r="185" spans="1:9" ht="14.25" x14ac:dyDescent="0.2">
      <c r="A185" s="71"/>
      <c r="B185" s="74"/>
      <c r="C185" s="74"/>
      <c r="F185" s="76"/>
      <c r="G185" s="76"/>
      <c r="H185" s="78"/>
      <c r="I185" s="79"/>
    </row>
    <row r="186" spans="1:9" ht="14.25" x14ac:dyDescent="0.2">
      <c r="A186" s="71"/>
      <c r="B186" s="74"/>
      <c r="C186" s="74"/>
      <c r="F186" s="76"/>
      <c r="G186" s="76"/>
      <c r="H186" s="78"/>
      <c r="I186" s="79"/>
    </row>
    <row r="187" spans="1:9" ht="14.25" x14ac:dyDescent="0.2">
      <c r="A187" s="71"/>
      <c r="B187" s="74"/>
      <c r="C187" s="74"/>
      <c r="F187" s="76"/>
      <c r="G187" s="76"/>
      <c r="H187" s="78"/>
      <c r="I187" s="79"/>
    </row>
    <row r="188" spans="1:9" ht="14.25" x14ac:dyDescent="0.2">
      <c r="A188" s="71"/>
      <c r="B188" s="74"/>
      <c r="C188" s="74"/>
      <c r="F188" s="76"/>
      <c r="G188" s="76"/>
      <c r="H188" s="78"/>
      <c r="I188" s="79"/>
    </row>
    <row r="189" spans="1:9" ht="14.25" x14ac:dyDescent="0.2">
      <c r="A189" s="71"/>
      <c r="B189" s="74"/>
      <c r="C189" s="74"/>
      <c r="F189" s="76"/>
      <c r="G189" s="76"/>
      <c r="H189" s="78"/>
      <c r="I189" s="79"/>
    </row>
    <row r="190" spans="1:9" ht="14.25" x14ac:dyDescent="0.2">
      <c r="A190" s="71"/>
      <c r="B190" s="74"/>
      <c r="C190" s="74"/>
      <c r="F190" s="76"/>
      <c r="G190" s="76"/>
      <c r="H190" s="78"/>
      <c r="I190" s="79"/>
    </row>
    <row r="191" spans="1:9" ht="14.25" x14ac:dyDescent="0.2">
      <c r="A191" s="71"/>
      <c r="B191" s="74"/>
      <c r="C191" s="74"/>
      <c r="F191" s="76"/>
      <c r="G191" s="76"/>
      <c r="H191" s="78"/>
      <c r="I191" s="79"/>
    </row>
    <row r="192" spans="1:9" ht="14.25" x14ac:dyDescent="0.2">
      <c r="A192" s="71"/>
      <c r="B192" s="74"/>
      <c r="C192" s="74"/>
      <c r="F192" s="76"/>
      <c r="G192" s="76"/>
      <c r="H192" s="78"/>
      <c r="I192" s="79"/>
    </row>
    <row r="193" spans="1:9" ht="14.25" x14ac:dyDescent="0.2">
      <c r="A193" s="71"/>
      <c r="B193" s="74"/>
      <c r="C193" s="74"/>
      <c r="F193" s="76"/>
      <c r="G193" s="76"/>
      <c r="H193" s="78"/>
      <c r="I193" s="79"/>
    </row>
    <row r="194" spans="1:9" ht="14.25" x14ac:dyDescent="0.2">
      <c r="A194" s="71"/>
      <c r="B194" s="74"/>
      <c r="C194" s="74"/>
      <c r="F194" s="76"/>
      <c r="G194" s="76"/>
      <c r="H194" s="78"/>
      <c r="I194" s="79"/>
    </row>
    <row r="195" spans="1:9" ht="14.25" x14ac:dyDescent="0.2">
      <c r="A195" s="71"/>
      <c r="B195" s="74"/>
      <c r="C195" s="74"/>
      <c r="F195" s="76"/>
      <c r="G195" s="76"/>
      <c r="H195" s="78"/>
      <c r="I195" s="79"/>
    </row>
    <row r="196" spans="1:9" ht="14.25" x14ac:dyDescent="0.2">
      <c r="A196" s="71"/>
      <c r="B196" s="74"/>
      <c r="C196" s="74"/>
      <c r="F196" s="76"/>
      <c r="G196" s="76"/>
      <c r="H196" s="78"/>
      <c r="I196" s="79"/>
    </row>
    <row r="197" spans="1:9" ht="14.25" x14ac:dyDescent="0.2">
      <c r="A197" s="71"/>
      <c r="B197" s="74"/>
      <c r="C197" s="74"/>
      <c r="F197" s="76"/>
      <c r="G197" s="76"/>
      <c r="H197" s="78"/>
      <c r="I197" s="79"/>
    </row>
    <row r="198" spans="1:9" ht="14.25" x14ac:dyDescent="0.2">
      <c r="A198" s="71"/>
      <c r="B198" s="74"/>
      <c r="C198" s="74"/>
      <c r="F198" s="76"/>
      <c r="G198" s="76"/>
      <c r="H198" s="78"/>
      <c r="I198" s="79"/>
    </row>
    <row r="199" spans="1:9" ht="14.25" x14ac:dyDescent="0.2">
      <c r="A199" s="71"/>
      <c r="B199" s="74"/>
      <c r="C199" s="74"/>
      <c r="F199" s="76"/>
      <c r="G199" s="76"/>
      <c r="H199" s="78"/>
      <c r="I199" s="79"/>
    </row>
    <row r="200" spans="1:9" ht="14.25" x14ac:dyDescent="0.2">
      <c r="A200" s="71"/>
      <c r="B200" s="74"/>
      <c r="C200" s="74"/>
      <c r="F200" s="76"/>
      <c r="G200" s="76"/>
      <c r="H200" s="78"/>
      <c r="I200" s="79"/>
    </row>
    <row r="201" spans="1:9" ht="14.25" x14ac:dyDescent="0.2">
      <c r="A201" s="71"/>
      <c r="B201" s="74"/>
      <c r="C201" s="74"/>
      <c r="F201" s="76"/>
      <c r="G201" s="76"/>
      <c r="H201" s="78"/>
      <c r="I201" s="79"/>
    </row>
    <row r="202" spans="1:9" ht="14.25" x14ac:dyDescent="0.2">
      <c r="A202" s="71"/>
      <c r="B202" s="74"/>
      <c r="C202" s="74"/>
      <c r="F202" s="76"/>
      <c r="G202" s="76"/>
      <c r="H202" s="78"/>
      <c r="I202" s="79"/>
    </row>
    <row r="203" spans="1:9" ht="14.25" x14ac:dyDescent="0.2">
      <c r="A203" s="71"/>
      <c r="B203" s="74"/>
      <c r="C203" s="74"/>
      <c r="F203" s="76"/>
      <c r="G203" s="76"/>
      <c r="H203" s="78"/>
      <c r="I203" s="79"/>
    </row>
    <row r="204" spans="1:9" ht="14.25" x14ac:dyDescent="0.2">
      <c r="A204" s="71"/>
      <c r="B204" s="74"/>
      <c r="C204" s="74"/>
      <c r="F204" s="76"/>
      <c r="G204" s="76"/>
      <c r="H204" s="78"/>
      <c r="I204" s="79"/>
    </row>
    <row r="205" spans="1:9" ht="14.25" x14ac:dyDescent="0.2">
      <c r="A205" s="71"/>
      <c r="B205" s="74"/>
      <c r="C205" s="74"/>
      <c r="F205" s="76"/>
      <c r="G205" s="76"/>
      <c r="H205" s="78"/>
      <c r="I205" s="79"/>
    </row>
    <row r="206" spans="1:9" ht="14.25" x14ac:dyDescent="0.2">
      <c r="A206" s="71"/>
      <c r="B206" s="74"/>
      <c r="C206" s="74"/>
      <c r="F206" s="76"/>
      <c r="G206" s="76"/>
      <c r="H206" s="78"/>
      <c r="I206" s="79"/>
    </row>
    <row r="207" spans="1:9" ht="14.25" x14ac:dyDescent="0.2">
      <c r="A207" s="71"/>
      <c r="B207" s="74"/>
      <c r="C207" s="74"/>
      <c r="F207" s="76"/>
      <c r="G207" s="76"/>
      <c r="H207" s="78"/>
      <c r="I207" s="79"/>
    </row>
    <row r="208" spans="1:9" ht="14.25" x14ac:dyDescent="0.2">
      <c r="A208" s="71"/>
      <c r="B208" s="74"/>
      <c r="C208" s="74"/>
      <c r="F208" s="76"/>
      <c r="G208" s="76"/>
      <c r="H208" s="78"/>
      <c r="I208" s="79"/>
    </row>
    <row r="209" spans="1:9" ht="14.25" x14ac:dyDescent="0.2">
      <c r="A209" s="71"/>
      <c r="B209" s="74"/>
      <c r="C209" s="74"/>
      <c r="F209" s="76"/>
      <c r="G209" s="76"/>
      <c r="H209" s="78"/>
      <c r="I209" s="79"/>
    </row>
    <row r="210" spans="1:9" ht="14.25" x14ac:dyDescent="0.2">
      <c r="A210" s="71"/>
      <c r="B210" s="74"/>
      <c r="C210" s="74"/>
      <c r="F210" s="76"/>
      <c r="G210" s="76"/>
      <c r="H210" s="78"/>
      <c r="I210" s="79"/>
    </row>
    <row r="211" spans="1:9" ht="14.25" x14ac:dyDescent="0.2">
      <c r="A211" s="71"/>
      <c r="B211" s="74"/>
      <c r="C211" s="74"/>
      <c r="F211" s="76"/>
      <c r="G211" s="76"/>
      <c r="H211" s="78"/>
      <c r="I211" s="79"/>
    </row>
    <row r="212" spans="1:9" ht="14.25" x14ac:dyDescent="0.2">
      <c r="A212" s="71"/>
      <c r="B212" s="74"/>
      <c r="C212" s="74"/>
      <c r="F212" s="76"/>
      <c r="G212" s="76"/>
      <c r="H212" s="78"/>
      <c r="I212" s="79"/>
    </row>
    <row r="213" spans="1:9" ht="14.25" x14ac:dyDescent="0.2">
      <c r="A213" s="71"/>
      <c r="B213" s="74"/>
      <c r="C213" s="74"/>
      <c r="F213" s="76"/>
      <c r="G213" s="76"/>
      <c r="H213" s="78"/>
      <c r="I213" s="79"/>
    </row>
    <row r="214" spans="1:9" ht="14.25" x14ac:dyDescent="0.2">
      <c r="A214" s="71"/>
      <c r="B214" s="74"/>
      <c r="C214" s="74"/>
      <c r="F214" s="76"/>
      <c r="G214" s="76"/>
      <c r="H214" s="78"/>
      <c r="I214" s="79"/>
    </row>
    <row r="215" spans="1:9" ht="14.25" x14ac:dyDescent="0.2">
      <c r="A215" s="71"/>
      <c r="B215" s="74"/>
      <c r="C215" s="74"/>
      <c r="F215" s="76"/>
      <c r="G215" s="76"/>
      <c r="H215" s="78"/>
      <c r="I215" s="79"/>
    </row>
    <row r="216" spans="1:9" ht="14.25" x14ac:dyDescent="0.2">
      <c r="A216" s="71"/>
      <c r="B216" s="74"/>
      <c r="C216" s="74"/>
      <c r="F216" s="76"/>
      <c r="G216" s="76"/>
      <c r="H216" s="78"/>
      <c r="I216" s="79"/>
    </row>
    <row r="217" spans="1:9" ht="14.25" x14ac:dyDescent="0.2">
      <c r="A217" s="71"/>
      <c r="B217" s="74"/>
      <c r="C217" s="74"/>
      <c r="F217" s="76"/>
      <c r="G217" s="76"/>
      <c r="H217" s="78"/>
      <c r="I217" s="79"/>
    </row>
    <row r="218" spans="1:9" ht="14.25" x14ac:dyDescent="0.2">
      <c r="A218" s="71"/>
      <c r="B218" s="74"/>
      <c r="C218" s="74"/>
      <c r="F218" s="76"/>
      <c r="G218" s="76"/>
      <c r="H218" s="78"/>
      <c r="I218" s="79"/>
    </row>
    <row r="219" spans="1:9" ht="14.25" x14ac:dyDescent="0.2">
      <c r="A219" s="71"/>
      <c r="B219" s="74"/>
      <c r="C219" s="74"/>
      <c r="F219" s="76"/>
      <c r="G219" s="76"/>
      <c r="H219" s="78"/>
      <c r="I219" s="79"/>
    </row>
    <row r="220" spans="1:9" ht="14.25" x14ac:dyDescent="0.2">
      <c r="A220" s="71"/>
      <c r="B220" s="74"/>
      <c r="C220" s="74"/>
      <c r="F220" s="76"/>
      <c r="G220" s="76"/>
      <c r="H220" s="78"/>
      <c r="I220" s="79"/>
    </row>
    <row r="221" spans="1:9" ht="14.25" x14ac:dyDescent="0.2">
      <c r="A221" s="71"/>
      <c r="B221" s="74"/>
      <c r="C221" s="74"/>
      <c r="F221" s="76"/>
      <c r="G221" s="76"/>
      <c r="H221" s="78"/>
      <c r="I221" s="79"/>
    </row>
    <row r="222" spans="1:9" ht="14.25" x14ac:dyDescent="0.2">
      <c r="A222" s="71"/>
      <c r="B222" s="74"/>
      <c r="C222" s="74"/>
      <c r="F222" s="76"/>
      <c r="G222" s="76"/>
      <c r="H222" s="78"/>
      <c r="I222" s="79"/>
    </row>
    <row r="223" spans="1:9" ht="14.25" x14ac:dyDescent="0.2">
      <c r="A223" s="71"/>
      <c r="B223" s="74"/>
      <c r="C223" s="74"/>
      <c r="F223" s="76"/>
      <c r="G223" s="76"/>
      <c r="H223" s="78"/>
      <c r="I223" s="79"/>
    </row>
    <row r="224" spans="1:9" ht="14.25" x14ac:dyDescent="0.2">
      <c r="A224" s="71"/>
      <c r="B224" s="74"/>
      <c r="C224" s="74"/>
      <c r="F224" s="76"/>
      <c r="G224" s="76"/>
      <c r="H224" s="78"/>
      <c r="I224" s="79"/>
    </row>
    <row r="225" spans="1:9" ht="14.25" x14ac:dyDescent="0.2">
      <c r="A225" s="71"/>
      <c r="B225" s="74"/>
      <c r="C225" s="74"/>
      <c r="F225" s="76"/>
      <c r="G225" s="76"/>
      <c r="H225" s="78"/>
      <c r="I225" s="79"/>
    </row>
    <row r="226" spans="1:9" ht="14.25" x14ac:dyDescent="0.2">
      <c r="A226" s="71"/>
      <c r="B226" s="74"/>
      <c r="C226" s="74"/>
      <c r="F226" s="76"/>
      <c r="G226" s="76"/>
      <c r="H226" s="78"/>
      <c r="I226" s="79"/>
    </row>
    <row r="227" spans="1:9" ht="14.25" x14ac:dyDescent="0.2">
      <c r="A227" s="71"/>
      <c r="B227" s="74"/>
      <c r="C227" s="74"/>
      <c r="F227" s="76"/>
      <c r="G227" s="76"/>
      <c r="H227" s="78"/>
      <c r="I227" s="79"/>
    </row>
    <row r="228" spans="1:9" ht="14.25" x14ac:dyDescent="0.2">
      <c r="A228" s="71"/>
      <c r="B228" s="74"/>
      <c r="C228" s="74"/>
      <c r="F228" s="76"/>
      <c r="G228" s="76"/>
      <c r="H228" s="78"/>
      <c r="I228" s="79"/>
    </row>
    <row r="229" spans="1:9" ht="14.25" x14ac:dyDescent="0.2">
      <c r="A229" s="71"/>
      <c r="B229" s="74"/>
      <c r="C229" s="74"/>
      <c r="F229" s="76"/>
      <c r="G229" s="76"/>
      <c r="H229" s="78"/>
      <c r="I229" s="79"/>
    </row>
    <row r="230" spans="1:9" ht="14.25" x14ac:dyDescent="0.2">
      <c r="A230" s="71"/>
      <c r="B230" s="74"/>
      <c r="C230" s="74"/>
      <c r="F230" s="76"/>
      <c r="G230" s="76"/>
      <c r="H230" s="78"/>
      <c r="I230" s="79"/>
    </row>
    <row r="231" spans="1:9" ht="14.25" x14ac:dyDescent="0.2">
      <c r="A231" s="71"/>
      <c r="B231" s="74"/>
      <c r="C231" s="74"/>
      <c r="F231" s="76"/>
      <c r="G231" s="76"/>
      <c r="H231" s="78"/>
      <c r="I231" s="79"/>
    </row>
    <row r="232" spans="1:9" ht="15" x14ac:dyDescent="0.25">
      <c r="A232" s="71"/>
      <c r="B232" s="74"/>
      <c r="C232" s="74"/>
      <c r="F232" s="76"/>
      <c r="G232" s="77"/>
      <c r="H232" s="78"/>
      <c r="I232" s="79"/>
    </row>
    <row r="233" spans="1:9" ht="15" x14ac:dyDescent="0.25">
      <c r="A233" s="71"/>
      <c r="B233" s="74"/>
      <c r="C233" s="74"/>
      <c r="F233" s="76"/>
      <c r="G233" s="77"/>
      <c r="H233" s="78"/>
      <c r="I233" s="79"/>
    </row>
    <row r="234" spans="1:9" ht="15" x14ac:dyDescent="0.25">
      <c r="A234" s="71"/>
      <c r="B234" s="74"/>
      <c r="C234" s="74"/>
      <c r="F234" s="76"/>
      <c r="G234" s="77"/>
      <c r="H234" s="78"/>
      <c r="I234" s="79"/>
    </row>
    <row r="235" spans="1:9" ht="15" x14ac:dyDescent="0.25">
      <c r="A235" s="71"/>
      <c r="B235" s="74"/>
      <c r="C235" s="74"/>
      <c r="F235" s="76"/>
      <c r="G235" s="77"/>
      <c r="H235" s="78"/>
      <c r="I235" s="79"/>
    </row>
    <row r="236" spans="1:9" ht="15" x14ac:dyDescent="0.25">
      <c r="A236" s="71"/>
      <c r="B236" s="74"/>
      <c r="C236" s="74"/>
      <c r="F236" s="76"/>
      <c r="G236" s="77"/>
      <c r="H236" s="78"/>
      <c r="I236" s="79"/>
    </row>
    <row r="237" spans="1:9" ht="15" x14ac:dyDescent="0.25">
      <c r="A237" s="71"/>
      <c r="B237" s="74"/>
      <c r="C237" s="74"/>
      <c r="F237" s="76"/>
      <c r="G237" s="77"/>
      <c r="H237" s="78"/>
      <c r="I237" s="79"/>
    </row>
    <row r="238" spans="1:9" ht="15" x14ac:dyDescent="0.25">
      <c r="A238" s="71"/>
      <c r="B238" s="74"/>
      <c r="C238" s="74"/>
      <c r="F238" s="76"/>
      <c r="G238" s="77"/>
      <c r="H238" s="78"/>
      <c r="I238" s="79"/>
    </row>
    <row r="239" spans="1:9" ht="15" x14ac:dyDescent="0.25">
      <c r="A239" s="71"/>
      <c r="B239" s="74"/>
      <c r="C239" s="74"/>
      <c r="F239" s="76"/>
      <c r="G239" s="77"/>
      <c r="H239" s="78"/>
      <c r="I239" s="79"/>
    </row>
    <row r="240" spans="1:9" ht="15" x14ac:dyDescent="0.25">
      <c r="A240" s="71"/>
      <c r="B240" s="74"/>
      <c r="C240" s="74"/>
      <c r="F240" s="76"/>
      <c r="G240" s="77"/>
      <c r="H240" s="78"/>
      <c r="I240" s="79"/>
    </row>
    <row r="241" spans="1:9" ht="15" x14ac:dyDescent="0.25">
      <c r="A241" s="71"/>
      <c r="B241" s="74"/>
      <c r="C241" s="74"/>
      <c r="F241" s="76"/>
      <c r="G241" s="77"/>
      <c r="H241" s="78"/>
      <c r="I241" s="79"/>
    </row>
    <row r="242" spans="1:9" ht="15" x14ac:dyDescent="0.25">
      <c r="A242" s="71"/>
      <c r="B242" s="74"/>
      <c r="C242" s="74"/>
      <c r="F242" s="76"/>
      <c r="G242" s="77"/>
      <c r="H242" s="78"/>
      <c r="I242" s="79"/>
    </row>
    <row r="243" spans="1:9" ht="15" x14ac:dyDescent="0.25">
      <c r="A243" s="71"/>
      <c r="B243" s="74"/>
      <c r="C243" s="74"/>
      <c r="F243" s="76"/>
      <c r="G243" s="77"/>
      <c r="H243" s="78"/>
      <c r="I243" s="79"/>
    </row>
    <row r="244" spans="1:9" ht="15" x14ac:dyDescent="0.25">
      <c r="A244" s="71"/>
      <c r="B244" s="74"/>
      <c r="C244" s="74"/>
      <c r="F244" s="76"/>
      <c r="G244" s="77"/>
      <c r="H244" s="78"/>
      <c r="I244" s="79"/>
    </row>
    <row r="245" spans="1:9" ht="14.25" x14ac:dyDescent="0.2">
      <c r="A245" s="71"/>
      <c r="B245" s="74"/>
      <c r="F245" s="76"/>
      <c r="H245" s="78"/>
    </row>
    <row r="246" spans="1:9" ht="14.25" x14ac:dyDescent="0.2">
      <c r="A246" s="43"/>
      <c r="F246" s="44"/>
      <c r="H246" s="78"/>
    </row>
    <row r="247" spans="1:9" x14ac:dyDescent="0.2">
      <c r="A247" s="43"/>
      <c r="F247" s="44"/>
    </row>
    <row r="248" spans="1:9" x14ac:dyDescent="0.2">
      <c r="A248" s="43"/>
      <c r="F248" s="44"/>
    </row>
    <row r="249" spans="1:9" x14ac:dyDescent="0.2">
      <c r="A249" s="43"/>
      <c r="F249" s="44"/>
    </row>
    <row r="250" spans="1:9" x14ac:dyDescent="0.2">
      <c r="A250" s="43"/>
      <c r="F250" s="44"/>
    </row>
    <row r="251" spans="1:9" x14ac:dyDescent="0.2">
      <c r="A251" s="43"/>
      <c r="F251" s="44"/>
    </row>
    <row r="252" spans="1:9" x14ac:dyDescent="0.2">
      <c r="A252" s="43"/>
      <c r="F252" s="44"/>
    </row>
    <row r="253" spans="1:9" x14ac:dyDescent="0.2">
      <c r="A253" s="43"/>
      <c r="F253" s="44"/>
    </row>
    <row r="254" spans="1:9" x14ac:dyDescent="0.2">
      <c r="A254" s="43"/>
      <c r="F254" s="44"/>
    </row>
    <row r="255" spans="1:9" x14ac:dyDescent="0.2">
      <c r="A255" s="43"/>
      <c r="F255" s="44"/>
    </row>
    <row r="256" spans="1:9" x14ac:dyDescent="0.2">
      <c r="A256" s="43"/>
      <c r="F256" s="44"/>
    </row>
    <row r="257" spans="1:6" x14ac:dyDescent="0.2">
      <c r="A257" s="43"/>
      <c r="F257" s="44"/>
    </row>
    <row r="258" spans="1:6" x14ac:dyDescent="0.2">
      <c r="A258" s="43"/>
      <c r="F258" s="44"/>
    </row>
    <row r="259" spans="1:6" x14ac:dyDescent="0.2">
      <c r="A259" s="43"/>
      <c r="F259" s="44"/>
    </row>
    <row r="260" spans="1:6" x14ac:dyDescent="0.2">
      <c r="A260" s="43"/>
      <c r="F260" s="44"/>
    </row>
    <row r="261" spans="1:6" x14ac:dyDescent="0.2">
      <c r="A261" s="43"/>
      <c r="F261" s="44"/>
    </row>
    <row r="262" spans="1:6" x14ac:dyDescent="0.2">
      <c r="A262" s="43"/>
      <c r="F262" s="44"/>
    </row>
    <row r="263" spans="1:6" x14ac:dyDescent="0.2">
      <c r="A263" s="43"/>
      <c r="F263" s="44"/>
    </row>
    <row r="264" spans="1:6" x14ac:dyDescent="0.2">
      <c r="A264" s="43"/>
      <c r="F264" s="44"/>
    </row>
    <row r="265" spans="1:6" x14ac:dyDescent="0.2">
      <c r="A265" s="43"/>
      <c r="F265" s="44"/>
    </row>
    <row r="266" spans="1:6" x14ac:dyDescent="0.2">
      <c r="A266" s="43"/>
      <c r="F266" s="44"/>
    </row>
    <row r="267" spans="1:6" x14ac:dyDescent="0.2">
      <c r="A267" s="43"/>
      <c r="F267" s="44"/>
    </row>
    <row r="268" spans="1:6" x14ac:dyDescent="0.2">
      <c r="A268" s="43"/>
      <c r="F268" s="44"/>
    </row>
    <row r="269" spans="1:6" x14ac:dyDescent="0.2">
      <c r="A269" s="43"/>
      <c r="F269" s="44"/>
    </row>
    <row r="270" spans="1:6" x14ac:dyDescent="0.2">
      <c r="A270" s="43"/>
      <c r="F270" s="44"/>
    </row>
    <row r="271" spans="1:6" x14ac:dyDescent="0.2">
      <c r="A271" s="43"/>
      <c r="F271" s="44"/>
    </row>
    <row r="272" spans="1:6" x14ac:dyDescent="0.2">
      <c r="A272" s="43"/>
      <c r="F272" s="44"/>
    </row>
    <row r="273" spans="1:6" x14ac:dyDescent="0.2">
      <c r="A273" s="43"/>
      <c r="F273" s="44"/>
    </row>
    <row r="274" spans="1:6" x14ac:dyDescent="0.2">
      <c r="A274" s="43"/>
      <c r="F274" s="44"/>
    </row>
    <row r="275" spans="1:6" x14ac:dyDescent="0.2">
      <c r="A275" s="43"/>
      <c r="F275" s="44"/>
    </row>
    <row r="276" spans="1:6" x14ac:dyDescent="0.2">
      <c r="A276" s="43"/>
      <c r="F276" s="44"/>
    </row>
    <row r="277" spans="1:6" x14ac:dyDescent="0.2">
      <c r="A277" s="43"/>
      <c r="F277" s="44"/>
    </row>
    <row r="278" spans="1:6" x14ac:dyDescent="0.2">
      <c r="A278" s="43"/>
      <c r="F278" s="44"/>
    </row>
    <row r="279" spans="1:6" x14ac:dyDescent="0.2">
      <c r="A279" s="43"/>
      <c r="F279" s="44"/>
    </row>
    <row r="280" spans="1:6" x14ac:dyDescent="0.2">
      <c r="A280" s="43"/>
      <c r="F280" s="44"/>
    </row>
    <row r="281" spans="1:6" x14ac:dyDescent="0.2">
      <c r="A281" s="43"/>
      <c r="F281" s="44"/>
    </row>
    <row r="282" spans="1:6" x14ac:dyDescent="0.2">
      <c r="A282" s="43"/>
      <c r="F282" s="44"/>
    </row>
    <row r="283" spans="1:6" x14ac:dyDescent="0.2">
      <c r="A283" s="43"/>
      <c r="F283" s="44"/>
    </row>
    <row r="284" spans="1:6" x14ac:dyDescent="0.2">
      <c r="A284" s="43"/>
      <c r="F284" s="44"/>
    </row>
    <row r="285" spans="1:6" x14ac:dyDescent="0.2">
      <c r="A285" s="43"/>
      <c r="F285" s="44"/>
    </row>
    <row r="286" spans="1:6" x14ac:dyDescent="0.2">
      <c r="A286" s="43"/>
      <c r="F286" s="44"/>
    </row>
    <row r="287" spans="1:6" x14ac:dyDescent="0.2">
      <c r="A287" s="43"/>
      <c r="F287" s="44"/>
    </row>
    <row r="288" spans="1:6" x14ac:dyDescent="0.2">
      <c r="A288" s="43"/>
      <c r="F288" s="44"/>
    </row>
    <row r="289" spans="1:6" x14ac:dyDescent="0.2">
      <c r="A289" s="43"/>
      <c r="F289" s="44"/>
    </row>
    <row r="290" spans="1:6" x14ac:dyDescent="0.2">
      <c r="A290" s="43"/>
      <c r="F290" s="44"/>
    </row>
    <row r="291" spans="1:6" x14ac:dyDescent="0.2">
      <c r="A291" s="43"/>
      <c r="F291" s="44"/>
    </row>
    <row r="292" spans="1:6" x14ac:dyDescent="0.2">
      <c r="A292" s="43"/>
      <c r="F292" s="44"/>
    </row>
    <row r="293" spans="1:6" x14ac:dyDescent="0.2">
      <c r="A293" s="43"/>
      <c r="F293" s="44"/>
    </row>
    <row r="294" spans="1:6" x14ac:dyDescent="0.2">
      <c r="A294" s="43"/>
      <c r="F294" s="44"/>
    </row>
    <row r="295" spans="1:6" x14ac:dyDescent="0.2">
      <c r="A295" s="43"/>
      <c r="F295" s="44"/>
    </row>
    <row r="296" spans="1:6" x14ac:dyDescent="0.2">
      <c r="A296" s="43"/>
      <c r="F296" s="44"/>
    </row>
    <row r="297" spans="1:6" x14ac:dyDescent="0.2">
      <c r="A297" s="43"/>
      <c r="F297" s="44"/>
    </row>
    <row r="298" spans="1:6" x14ac:dyDescent="0.2">
      <c r="A298" s="43"/>
      <c r="F298" s="44"/>
    </row>
    <row r="299" spans="1:6" x14ac:dyDescent="0.2">
      <c r="A299" s="43"/>
      <c r="F299" s="44"/>
    </row>
    <row r="300" spans="1:6" x14ac:dyDescent="0.2">
      <c r="A300" s="43"/>
      <c r="F300" s="44"/>
    </row>
    <row r="301" spans="1:6" x14ac:dyDescent="0.2">
      <c r="A301" s="43"/>
      <c r="F301" s="44"/>
    </row>
    <row r="302" spans="1:6" x14ac:dyDescent="0.2">
      <c r="A302" s="43"/>
      <c r="F302" s="44"/>
    </row>
    <row r="303" spans="1:6" x14ac:dyDescent="0.2">
      <c r="A303" s="43"/>
      <c r="F303" s="44"/>
    </row>
    <row r="304" spans="1:6" x14ac:dyDescent="0.2">
      <c r="A304" s="43"/>
      <c r="F304" s="44"/>
    </row>
    <row r="305" spans="1:6" x14ac:dyDescent="0.2">
      <c r="A305" s="43"/>
      <c r="F305" s="44"/>
    </row>
    <row r="306" spans="1:6" x14ac:dyDescent="0.2">
      <c r="A306" s="43"/>
      <c r="F306" s="44"/>
    </row>
    <row r="307" spans="1:6" x14ac:dyDescent="0.2">
      <c r="A307" s="43"/>
      <c r="F307" s="44"/>
    </row>
    <row r="308" spans="1:6" x14ac:dyDescent="0.2">
      <c r="A308" s="43"/>
      <c r="F308" s="44"/>
    </row>
    <row r="309" spans="1:6" x14ac:dyDescent="0.2">
      <c r="A309" s="43"/>
      <c r="F309" s="44"/>
    </row>
    <row r="310" spans="1:6" x14ac:dyDescent="0.2">
      <c r="A310" s="43"/>
      <c r="F310" s="44"/>
    </row>
    <row r="311" spans="1:6" x14ac:dyDescent="0.2">
      <c r="A311" s="43"/>
      <c r="F311" s="44"/>
    </row>
    <row r="312" spans="1:6" x14ac:dyDescent="0.2">
      <c r="A312" s="43"/>
      <c r="F312" s="44"/>
    </row>
    <row r="313" spans="1:6" x14ac:dyDescent="0.2">
      <c r="A313" s="43"/>
      <c r="F313" s="44"/>
    </row>
    <row r="314" spans="1:6" x14ac:dyDescent="0.2">
      <c r="A314" s="43"/>
      <c r="F314" s="44"/>
    </row>
    <row r="315" spans="1:6" x14ac:dyDescent="0.2">
      <c r="A315" s="43"/>
      <c r="F315" s="44"/>
    </row>
    <row r="316" spans="1:6" x14ac:dyDescent="0.2">
      <c r="A316" s="43"/>
      <c r="F316" s="44"/>
    </row>
    <row r="317" spans="1:6" x14ac:dyDescent="0.2">
      <c r="A317" s="43"/>
      <c r="F317" s="44"/>
    </row>
    <row r="318" spans="1:6" x14ac:dyDescent="0.2">
      <c r="A318" s="43"/>
      <c r="F318" s="44"/>
    </row>
    <row r="319" spans="1:6" x14ac:dyDescent="0.2">
      <c r="A319" s="43"/>
      <c r="F319" s="44"/>
    </row>
    <row r="320" spans="1:6" x14ac:dyDescent="0.2">
      <c r="A320" s="43"/>
      <c r="F320" s="44"/>
    </row>
    <row r="321" spans="1:6" x14ac:dyDescent="0.2">
      <c r="A321" s="43"/>
      <c r="F321" s="44"/>
    </row>
    <row r="322" spans="1:6" x14ac:dyDescent="0.2">
      <c r="A322" s="43"/>
      <c r="F322" s="44"/>
    </row>
    <row r="323" spans="1:6" x14ac:dyDescent="0.2">
      <c r="A323" s="43"/>
      <c r="F323" s="44"/>
    </row>
    <row r="324" spans="1:6" x14ac:dyDescent="0.2">
      <c r="A324" s="43"/>
      <c r="F324" s="44"/>
    </row>
    <row r="325" spans="1:6" x14ac:dyDescent="0.2">
      <c r="A325" s="43"/>
      <c r="F325" s="44"/>
    </row>
    <row r="326" spans="1:6" x14ac:dyDescent="0.2">
      <c r="A326" s="43"/>
      <c r="F326" s="44"/>
    </row>
    <row r="327" spans="1:6" x14ac:dyDescent="0.2">
      <c r="A327" s="43"/>
      <c r="F327" s="44"/>
    </row>
    <row r="328" spans="1:6" x14ac:dyDescent="0.2">
      <c r="A328" s="43"/>
      <c r="F328" s="44"/>
    </row>
    <row r="329" spans="1:6" x14ac:dyDescent="0.2">
      <c r="A329" s="43"/>
      <c r="F329" s="44"/>
    </row>
    <row r="330" spans="1:6" x14ac:dyDescent="0.2">
      <c r="A330" s="43"/>
      <c r="F330" s="44"/>
    </row>
    <row r="331" spans="1:6" x14ac:dyDescent="0.2">
      <c r="A331" s="43"/>
      <c r="F331" s="44"/>
    </row>
    <row r="332" spans="1:6" x14ac:dyDescent="0.2">
      <c r="A332" s="43"/>
      <c r="F332" s="44"/>
    </row>
    <row r="333" spans="1:6" x14ac:dyDescent="0.2">
      <c r="A333" s="43"/>
      <c r="F333" s="44"/>
    </row>
    <row r="334" spans="1:6" x14ac:dyDescent="0.2">
      <c r="A334" s="43"/>
      <c r="F334" s="44"/>
    </row>
    <row r="335" spans="1:6" x14ac:dyDescent="0.2">
      <c r="A335" s="43"/>
      <c r="F335" s="44"/>
    </row>
    <row r="336" spans="1:6" x14ac:dyDescent="0.2">
      <c r="A336" s="43"/>
      <c r="F336" s="44"/>
    </row>
    <row r="337" spans="1:6" x14ac:dyDescent="0.2">
      <c r="A337" s="43"/>
      <c r="F337" s="44"/>
    </row>
    <row r="338" spans="1:6" x14ac:dyDescent="0.2">
      <c r="A338" s="43"/>
      <c r="F338" s="44"/>
    </row>
    <row r="339" spans="1:6" x14ac:dyDescent="0.2">
      <c r="A339" s="43"/>
      <c r="F339" s="44"/>
    </row>
    <row r="340" spans="1:6" x14ac:dyDescent="0.2">
      <c r="A340" s="43"/>
      <c r="F340" s="44"/>
    </row>
    <row r="341" spans="1:6" x14ac:dyDescent="0.2">
      <c r="A341" s="43"/>
      <c r="F341" s="44"/>
    </row>
    <row r="342" spans="1:6" x14ac:dyDescent="0.2">
      <c r="A342" s="43"/>
      <c r="F342" s="44"/>
    </row>
    <row r="343" spans="1:6" x14ac:dyDescent="0.2">
      <c r="A343" s="43"/>
      <c r="F343" s="44"/>
    </row>
    <row r="344" spans="1:6" x14ac:dyDescent="0.2">
      <c r="A344" s="43"/>
      <c r="F344" s="44"/>
    </row>
    <row r="345" spans="1:6" x14ac:dyDescent="0.2">
      <c r="A345" s="43"/>
      <c r="F345" s="44"/>
    </row>
    <row r="346" spans="1:6" x14ac:dyDescent="0.2">
      <c r="A346" s="43"/>
      <c r="F346" s="44"/>
    </row>
    <row r="347" spans="1:6" x14ac:dyDescent="0.2">
      <c r="A347" s="43"/>
      <c r="F347" s="44"/>
    </row>
    <row r="348" spans="1:6" x14ac:dyDescent="0.2">
      <c r="A348" s="43"/>
      <c r="F348" s="44"/>
    </row>
    <row r="349" spans="1:6" x14ac:dyDescent="0.2">
      <c r="A349" s="43"/>
      <c r="F349" s="44"/>
    </row>
    <row r="350" spans="1:6" x14ac:dyDescent="0.2">
      <c r="A350" s="43"/>
      <c r="F350" s="44"/>
    </row>
    <row r="351" spans="1:6" x14ac:dyDescent="0.2">
      <c r="A351" s="43"/>
      <c r="F351" s="44"/>
    </row>
    <row r="352" spans="1:6" x14ac:dyDescent="0.2">
      <c r="A352" s="43"/>
      <c r="F352" s="44"/>
    </row>
    <row r="353" spans="1:6" x14ac:dyDescent="0.2">
      <c r="A353" s="43"/>
      <c r="F353" s="44"/>
    </row>
    <row r="354" spans="1:6" x14ac:dyDescent="0.2">
      <c r="A354" s="43"/>
      <c r="F354" s="44"/>
    </row>
    <row r="355" spans="1:6" x14ac:dyDescent="0.2">
      <c r="A355" s="43"/>
      <c r="F355" s="44"/>
    </row>
    <row r="356" spans="1:6" x14ac:dyDescent="0.2">
      <c r="A356" s="43"/>
      <c r="F356" s="44"/>
    </row>
    <row r="357" spans="1:6" x14ac:dyDescent="0.2">
      <c r="A357" s="43"/>
      <c r="F357" s="44"/>
    </row>
    <row r="358" spans="1:6" x14ac:dyDescent="0.2">
      <c r="A358" s="43"/>
      <c r="F358" s="44"/>
    </row>
    <row r="359" spans="1:6" x14ac:dyDescent="0.2">
      <c r="A359" s="43"/>
      <c r="F359" s="44"/>
    </row>
    <row r="360" spans="1:6" x14ac:dyDescent="0.2">
      <c r="A360" s="43"/>
      <c r="F360" s="44"/>
    </row>
    <row r="361" spans="1:6" x14ac:dyDescent="0.2">
      <c r="A361" s="43"/>
      <c r="F361" s="44"/>
    </row>
    <row r="362" spans="1:6" x14ac:dyDescent="0.2">
      <c r="A362" s="43"/>
      <c r="F362" s="44"/>
    </row>
  </sheetData>
  <sheetProtection password="CD80" sheet="1" objects="1" scenarios="1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Beräkningsblad</vt:lpstr>
      <vt:lpstr>Diagram</vt:lpstr>
      <vt:lpstr>Blad2 </vt:lpstr>
      <vt:lpstr>Blad3</vt:lpstr>
    </vt:vector>
  </TitlesOfParts>
  <Company>xxxxxxxxxxxxxxxxx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Veström</dc:creator>
  <cp:lastModifiedBy>Björn</cp:lastModifiedBy>
  <cp:lastPrinted>2005-01-22T16:46:11Z</cp:lastPrinted>
  <dcterms:created xsi:type="dcterms:W3CDTF">2001-05-05T07:29:47Z</dcterms:created>
  <dcterms:modified xsi:type="dcterms:W3CDTF">2015-03-14T19:57:34Z</dcterms:modified>
</cp:coreProperties>
</file>