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media/image1.wmf" ContentType="image/x-wmf"/>
  <Override PartName="/xl/worksheets/sheet3.xml" ContentType="application/vnd.openxmlformats-officedocument.spreadsheetml.worksheet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_rels/drawing2.xml.rels" ContentType="application/vnd.openxmlformats-package.relationship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Beräkningsblad" sheetId="1" state="visible" r:id="rId2"/>
    <sheet name="Diagram" sheetId="2" state="visible" r:id="rId3"/>
    <sheet name="Blad2 " sheetId="3" state="hidden" r:id="rId4"/>
    <sheet name="Blad3" sheetId="4" state="hidden" r:id="rId5"/>
  </sheets>
  <calcPr iterateCount="100" refMode="A1" iterate="false" iterateDelta="0.0001"/>
</workbook>
</file>

<file path=xl/sharedStrings.xml><?xml version="1.0" encoding="utf-8"?>
<sst xmlns="http://schemas.openxmlformats.org/spreadsheetml/2006/main" count="357" uniqueCount="230">
  <si>
    <t>R134a</t>
  </si>
  <si>
    <t>Funktionsanalys</t>
  </si>
  <si>
    <t>Noteringar:</t>
  </si>
  <si>
    <t>Använd relevanta värden och mätningar!</t>
  </si>
  <si>
    <t>Mätningen avser :</t>
  </si>
  <si>
    <t>L1</t>
  </si>
  <si>
    <t>L2</t>
  </si>
  <si>
    <t>L3</t>
  </si>
  <si>
    <r>
      <t xml:space="preserve">Cos </t>
    </r>
    <r>
      <rPr>
        <rFont val="Symbol"/>
        <charset val="2"/>
        <family val="1"/>
        <sz val="9"/>
      </rPr>
      <t xml:space="preserve">j</t>
    </r>
    <r>
      <rPr>
        <rFont val="Arial"/>
        <charset val="1"/>
        <family val="2"/>
        <sz val="9"/>
      </rPr>
      <t xml:space="preserve"> med i beräkning för tillförd el. effekt (E7).</t>
    </r>
  </si>
  <si>
    <t>Spänning </t>
  </si>
  <si>
    <r>
      <t xml:space="preserve">Cos </t>
    </r>
    <r>
      <rPr>
        <rFont val="Symbol"/>
        <charset val="2"/>
        <family val="1"/>
        <sz val="9"/>
      </rPr>
      <t xml:space="preserve">j</t>
    </r>
  </si>
  <si>
    <t>Entalpi</t>
  </si>
  <si>
    <t>  Kompressorström </t>
  </si>
  <si>
    <t>    kJ / kg köldmedium</t>
  </si>
  <si>
    <t>    i massflöde</t>
  </si>
  <si>
    <t> kW = kJ / sekund     e</t>
  </si>
  <si>
    <t>Vätska</t>
  </si>
  <si>
    <t>Gas</t>
  </si>
  <si>
    <r>
      <t xml:space="preserve">Sugtryck   </t>
    </r>
    <r>
      <rPr>
        <rFont val="Arial"/>
        <charset val="1"/>
        <family val="2"/>
        <b val="true"/>
        <sz val="9"/>
      </rPr>
      <t xml:space="preserve">Lp   </t>
    </r>
  </si>
  <si>
    <t> bar(e)</t>
  </si>
  <si>
    <t> bar(a)</t>
  </si>
  <si>
    <t>Förångningstemperatur</t>
  </si>
  <si>
    <t> ºC</t>
  </si>
  <si>
    <t>Vätsketemperatur</t>
  </si>
  <si>
    <r>
      <t xml:space="preserve">(max 17) Högtryck   </t>
    </r>
    <r>
      <rPr>
        <rFont val="Arial"/>
        <charset val="1"/>
        <family val="2"/>
        <b val="true"/>
        <sz val="9"/>
      </rPr>
      <t xml:space="preserve">Hp</t>
    </r>
  </si>
  <si>
    <t>          Gastemperatur</t>
  </si>
  <si>
    <t>                      Kondenseringstemperatur</t>
  </si>
  <si>
    <t>Kompressor</t>
  </si>
  <si>
    <t>tryckrörstemperatur</t>
  </si>
  <si>
    <t> ºC            d</t>
  </si>
  <si>
    <t>Hetgasväxlare</t>
  </si>
  <si>
    <t>    inloppstemperatur</t>
  </si>
  <si>
    <t>    utloppstemperatur</t>
  </si>
  <si>
    <t>avgiven entalpi</t>
  </si>
  <si>
    <t> kJ / kg</t>
  </si>
  <si>
    <t>Kondensor</t>
  </si>
  <si>
    <t>inloppstemperatur</t>
  </si>
  <si>
    <t>utloppstemperatur</t>
  </si>
  <si>
    <t> ºC  </t>
  </si>
  <si>
    <t>underkylning</t>
  </si>
  <si>
    <t> K</t>
  </si>
  <si>
    <t>Underkylare</t>
  </si>
  <si>
    <t>Vätsketemp.</t>
  </si>
  <si>
    <t>inlopp</t>
  </si>
  <si>
    <t>Suggasväxlare</t>
  </si>
  <si>
    <t>    utlopp</t>
  </si>
  <si>
    <t>                            Entalpi överfört till suggasen</t>
  </si>
  <si>
    <t> kJ / kg (jmf. E 44)</t>
  </si>
  <si>
    <t>Expansionsdon</t>
  </si>
  <si>
    <t>vätsketemperatur</t>
  </si>
  <si>
    <t> ºC      a , b</t>
  </si>
  <si>
    <t>Total underkylning av köldmedievätskan</t>
  </si>
  <si>
    <t>Förångare</t>
  </si>
  <si>
    <t>överhettning</t>
  </si>
  <si>
    <t>upptagen entalpi</t>
  </si>
  <si>
    <t>Gastemp.</t>
  </si>
  <si>
    <t>Inlopp</t>
  </si>
  <si>
    <t>  Överhettning</t>
  </si>
  <si>
    <t> kJ / kg (jmf. E 35)</t>
  </si>
  <si>
    <t>sugrörtemperatur</t>
  </si>
  <si>
    <t> ºC            c</t>
  </si>
  <si>
    <t>                      Total överhettning av suggasen</t>
  </si>
  <si>
    <t>                                   Köldmedium-massflöde</t>
  </si>
  <si>
    <t> kg köldmedium / sekund</t>
  </si>
  <si>
    <t>      Elförbrukning till fläktar och pumpar etc.</t>
  </si>
  <si>
    <t> kW</t>
  </si>
  <si>
    <t>Överhettning   K</t>
  </si>
  <si>
    <t>                  Tillförd elektrisk effekt</t>
  </si>
  <si>
    <t>Underkylning  K</t>
  </si>
  <si>
    <t>   I hetgasväxlaren avgiven effekt</t>
  </si>
  <si>
    <t>COP v</t>
  </si>
  <si>
    <t>energivinst</t>
  </si>
  <si>
    <t>           I kondensorn avgiven effekt</t>
  </si>
  <si>
    <t>COP k</t>
  </si>
  <si>
    <t>           I underkylaren avgiven effekt</t>
  </si>
  <si>
    <t>teoretisk hetgastemp.</t>
  </si>
  <si>
    <t>                  Summa avgiven effekt</t>
  </si>
  <si>
    <r>
      <t xml:space="preserve">isentropisk </t>
    </r>
    <r>
      <rPr>
        <rFont val="Symbol"/>
        <charset val="2"/>
        <family val="1"/>
        <sz val="9"/>
      </rPr>
      <t xml:space="preserve"> h</t>
    </r>
  </si>
  <si>
    <t>         I förångaren upptagen effekt</t>
  </si>
  <si>
    <r>
      <t xml:space="preserve"> </t>
    </r>
    <r>
      <rPr>
        <rFont val="Symbol"/>
        <charset val="2"/>
        <family val="1"/>
        <sz val="9"/>
      </rPr>
      <t xml:space="preserve">h</t>
    </r>
    <r>
      <rPr>
        <rFont val="Arial"/>
        <charset val="1"/>
        <family val="2"/>
        <sz val="8"/>
      </rPr>
      <t xml:space="preserve"> med i beräkning för km-massflöde</t>
    </r>
  </si>
  <si>
    <t>Hetgasväx.</t>
  </si>
  <si>
    <t>Värmebärare</t>
  </si>
  <si>
    <t>Vatten</t>
  </si>
  <si>
    <t>Köldbärare</t>
  </si>
  <si>
    <t>sprit</t>
  </si>
  <si>
    <t>Specifik entalpi kJ / kg / °K</t>
  </si>
  <si>
    <t>ent.kJ/kg/K</t>
  </si>
  <si>
    <t>Temperatur in °C</t>
  </si>
  <si>
    <t>Summa</t>
  </si>
  <si>
    <t>in °C</t>
  </si>
  <si>
    <t>Temperatur ut °C</t>
  </si>
  <si>
    <t>avgiven</t>
  </si>
  <si>
    <t>ut °C</t>
  </si>
  <si>
    <t>Flöde kg / minut</t>
  </si>
  <si>
    <t>effekt  kW</t>
  </si>
  <si>
    <t>fl. kg/min</t>
  </si>
  <si>
    <t>Effekt kW</t>
  </si>
  <si>
    <t>eff. kW</t>
  </si>
  <si>
    <t>Köldmedium:</t>
  </si>
  <si>
    <t>Kund:</t>
  </si>
  <si>
    <t>Datum:</t>
  </si>
  <si>
    <t>Aggregat:</t>
  </si>
  <si>
    <t>Spänning</t>
  </si>
  <si>
    <t>  V</t>
  </si>
  <si>
    <r>
      <t xml:space="preserve">Cos </t>
    </r>
    <r>
      <rPr>
        <rFont val="Symbol"/>
        <charset val="2"/>
        <family val="1"/>
        <sz val="10"/>
      </rPr>
      <t xml:space="preserve">j</t>
    </r>
  </si>
  <si>
    <t>Ström</t>
  </si>
  <si>
    <t>  A</t>
  </si>
  <si>
    <t>h</t>
  </si>
  <si>
    <t>Hp</t>
  </si>
  <si>
    <t>bar (e)</t>
  </si>
  <si>
    <t>Kondensor inlopp</t>
  </si>
  <si>
    <t>°C</t>
  </si>
  <si>
    <t>Lp</t>
  </si>
  <si>
    <t>Kondensor utlopp</t>
  </si>
  <si>
    <t>Hetgas</t>
  </si>
  <si>
    <t>Suggasvx. Vätska inlopp</t>
  </si>
  <si>
    <t>Suggas</t>
  </si>
  <si>
    <t>Suggasvx. Vätska utlopp</t>
  </si>
  <si>
    <t>Hetgasvx.inlopp</t>
  </si>
  <si>
    <t>Suggasvx.Gas inlopp</t>
  </si>
  <si>
    <t>Hetgasvx.utlopp</t>
  </si>
  <si>
    <t>Suggasvx.Gas utlopp</t>
  </si>
  <si>
    <t>Strypdon Vätska</t>
  </si>
  <si>
    <t>Förångare Gas utlopp</t>
  </si>
  <si>
    <t>Hp 100% kondensat</t>
  </si>
  <si>
    <t>100% gas</t>
  </si>
  <si>
    <t>bar (a)</t>
  </si>
  <si>
    <t>kJ/kg</t>
  </si>
  <si>
    <t>Underkylning</t>
  </si>
  <si>
    <t>Hetgaspunkt</t>
  </si>
  <si>
    <t>°K</t>
  </si>
  <si>
    <t>Hetg.vx.ut</t>
  </si>
  <si>
    <t>Strypdonets</t>
  </si>
  <si>
    <t>Kond. In</t>
  </si>
  <si>
    <t>entalpi</t>
  </si>
  <si>
    <t>Suggasp.</t>
  </si>
  <si>
    <t>Överhettning</t>
  </si>
  <si>
    <t>Lp </t>
  </si>
  <si>
    <t>COP v =</t>
  </si>
  <si>
    <t>-</t>
  </si>
  <si>
    <t>=</t>
  </si>
  <si>
    <t>Tillförd el effekt</t>
  </si>
  <si>
    <t>kW</t>
  </si>
  <si>
    <t>COP k =</t>
  </si>
  <si>
    <t>Avgiven effekt</t>
  </si>
  <si>
    <t>Energiläckage</t>
  </si>
  <si>
    <t>Energivinst</t>
  </si>
  <si>
    <t>Mellan kompressor-hetgasväxlare</t>
  </si>
  <si>
    <t> W</t>
  </si>
  <si>
    <t>Mellan hetgasväxlare-kondensor</t>
  </si>
  <si>
    <t>Mellan kondensor-underkylare</t>
  </si>
  <si>
    <t>Mellan underkylare-suggasväxlare</t>
  </si>
  <si>
    <t>Mellan suggasväxlare-expantionsventil</t>
  </si>
  <si>
    <t>Mellan förångare-suggasväxlare</t>
  </si>
  <si>
    <t>Mellan suggasväxlare-kompressor</t>
  </si>
  <si>
    <t>Medelspänning</t>
  </si>
  <si>
    <t>M.ström</t>
  </si>
  <si>
    <r>
      <t xml:space="preserve">1 phas är markerat.  </t>
    </r>
    <r>
      <rPr>
        <rFont val="Arial"/>
        <charset val="1"/>
        <family val="2"/>
        <b val="true"/>
        <sz val="10"/>
      </rPr>
      <t xml:space="preserve">Ange spänning och ström under L1</t>
    </r>
  </si>
  <si>
    <t>phas 1</t>
  </si>
  <si>
    <t>3 phas</t>
  </si>
  <si>
    <t>phas 2</t>
  </si>
  <si>
    <t>phas 3</t>
  </si>
  <si>
    <t>           Elektrisk effekt 1 phas  </t>
  </si>
  <si>
    <t>summa</t>
  </si>
  <si>
    <t>           Elektrisk effekt 3 phas  </t>
  </si>
  <si>
    <t>summa /3</t>
  </si>
  <si>
    <t>Högt tryck angivet</t>
  </si>
  <si>
    <t>Ingen tryckrörstemp.</t>
  </si>
  <si>
    <t>KONDENSERING</t>
  </si>
  <si>
    <t>Hög temperatur </t>
  </si>
  <si>
    <t>Låg temperatur</t>
  </si>
  <si>
    <t>A10 = tom cell</t>
  </si>
  <si>
    <t>Ingen inloppstemp.</t>
  </si>
  <si>
    <t>Hetgasvx.</t>
  </si>
  <si>
    <t>Inget högtryck angivet</t>
  </si>
  <si>
    <t>Kont.hetgasväxlaretemp.</t>
  </si>
  <si>
    <t>Inlopp låg temp.</t>
  </si>
  <si>
    <t>hetgasvx.</t>
  </si>
  <si>
    <t>Ingen kondensering</t>
  </si>
  <si>
    <t>Kont. Kondensor</t>
  </si>
  <si>
    <t>kond.</t>
  </si>
  <si>
    <t>Kont. Underkylare</t>
  </si>
  <si>
    <t>und.kyl</t>
  </si>
  <si>
    <t>s kurva </t>
  </si>
  <si>
    <t>idealisk kompression</t>
  </si>
  <si>
    <t>massfl.</t>
  </si>
  <si>
    <t> (bar a)</t>
  </si>
  <si>
    <t>avg.eff.</t>
  </si>
  <si>
    <t>förång.temp</t>
  </si>
  <si>
    <t>s kurva</t>
  </si>
  <si>
    <t>Kont.temp</t>
  </si>
  <si>
    <t>multiplikator</t>
  </si>
  <si>
    <t>hetgas</t>
  </si>
  <si>
    <t>beräknad s kurva</t>
  </si>
  <si>
    <t>kond</t>
  </si>
  <si>
    <t>und.k</t>
  </si>
  <si>
    <t>förå.temp</t>
  </si>
  <si>
    <t>differens</t>
  </si>
  <si>
    <t>multplikator</t>
  </si>
  <si>
    <t>s kurveändring</t>
  </si>
  <si>
    <t>entalpi vid s kurvan</t>
  </si>
  <si>
    <t>teoretisk hetgas </t>
  </si>
  <si>
    <t>Isentropisk verkningsgrad</t>
  </si>
  <si>
    <t>      Temperatur</t>
  </si>
  <si>
    <t>     Specifik volym</t>
  </si>
  <si>
    <t>     Specifik entalpi</t>
  </si>
  <si>
    <t>Specifik</t>
  </si>
  <si>
    <t>sugrör</t>
  </si>
  <si>
    <t>   vätska </t>
  </si>
  <si>
    <t>    ånga</t>
  </si>
  <si>
    <t>    vätska </t>
  </si>
  <si>
    <t>entropisk</t>
  </si>
  <si>
    <t>temperatur</t>
  </si>
  <si>
    <t>Tryck</t>
  </si>
  <si>
    <t>t,BP</t>
  </si>
  <si>
    <t>t,DP</t>
  </si>
  <si>
    <t>VBP  </t>
  </si>
  <si>
    <t>VDP</t>
  </si>
  <si>
    <t>h,BP</t>
  </si>
  <si>
    <t>kompression</t>
  </si>
  <si>
    <t>   abs</t>
  </si>
  <si>
    <t>C°</t>
  </si>
  <si>
    <t>m³ / kg </t>
  </si>
  <si>
    <t>kJ / kg </t>
  </si>
  <si>
    <t>högst</t>
  </si>
  <si>
    <t>max 30 K</t>
  </si>
  <si>
    <t>   bar(a)</t>
  </si>
  <si>
    <t>*1/1000</t>
  </si>
  <si>
    <t>130°C</t>
  </si>
  <si>
    <t>ºC</t>
  </si>
</sst>
</file>

<file path=xl/styles.xml><?xml version="1.0" encoding="utf-8"?>
<styleSheet xmlns="http://schemas.openxmlformats.org/spreadsheetml/2006/main">
  <numFmts count="9">
    <numFmt formatCode="GENERAL" numFmtId="164"/>
    <numFmt formatCode="D\ MMMM\ /YY" numFmtId="165"/>
    <numFmt formatCode="@" numFmtId="166"/>
    <numFmt formatCode="0.0" numFmtId="167"/>
    <numFmt formatCode="0.00" numFmtId="168"/>
    <numFmt formatCode="0.000" numFmtId="169"/>
    <numFmt formatCode="0" numFmtId="170"/>
    <numFmt formatCode="0.0000" numFmtId="171"/>
    <numFmt formatCode="0.000000" numFmtId="172"/>
  </numFmts>
  <fonts count="1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true"/>
      <sz val="14"/>
    </font>
    <font>
      <name val="Arial"/>
      <charset val="1"/>
      <family val="2"/>
      <sz val="9"/>
    </font>
    <font>
      <name val="Arial"/>
      <charset val="1"/>
      <family val="2"/>
      <i val="true"/>
      <sz val="9"/>
    </font>
    <font>
      <name val="Arial"/>
      <charset val="1"/>
      <family val="2"/>
      <b val="true"/>
      <sz val="9"/>
    </font>
    <font>
      <name val="Symbol"/>
      <charset val="2"/>
      <family val="1"/>
      <sz val="9"/>
    </font>
    <font>
      <name val="Arial"/>
      <charset val="1"/>
      <family val="2"/>
      <sz val="8"/>
    </font>
    <font>
      <name val="Arial"/>
      <charset val="1"/>
      <family val="2"/>
      <color rgb="FF000000"/>
      <sz val="9"/>
    </font>
    <font>
      <name val="Arial"/>
      <charset val="1"/>
      <family val="2"/>
      <b val="true"/>
      <color rgb="FFFF0000"/>
      <sz val="9"/>
    </font>
    <font>
      <name val="Symbol"/>
      <charset val="2"/>
      <family val="1"/>
      <sz val="10"/>
    </font>
    <font>
      <name val="Arial"/>
      <charset val="1"/>
      <family val="2"/>
      <color rgb="FF000000"/>
      <sz val="10"/>
    </font>
    <font>
      <name val="Arial"/>
      <charset val="1"/>
      <family val="2"/>
      <b val="true"/>
      <sz val="10"/>
    </font>
    <font>
      <name val="Arial"/>
      <charset val="1"/>
      <family val="2"/>
      <b val="true"/>
      <sz val="8"/>
    </font>
    <font>
      <name val="Arial"/>
      <charset val="1"/>
      <family val="2"/>
      <sz val="1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6">
    <border diagonalDown="false" diagonalUp="false">
      <left/>
      <right/>
      <top/>
      <bottom/>
      <diagonal/>
    </border>
    <border diagonalDown="false" diagonalUp="false">
      <left style="thick"/>
      <right style="thick"/>
      <top style="thick"/>
      <bottom style="thick"/>
      <diagonal/>
    </border>
    <border diagonalDown="false" diagonalUp="false">
      <left style="thick"/>
      <right/>
      <top style="thick"/>
      <bottom/>
      <diagonal/>
    </border>
    <border diagonalDown="false" diagonalUp="false">
      <left/>
      <right/>
      <top style="thick"/>
      <bottom/>
      <diagonal/>
    </border>
    <border diagonalDown="false" diagonalUp="false">
      <left/>
      <right style="thick"/>
      <top style="thick"/>
      <bottom/>
      <diagonal/>
    </border>
    <border diagonalDown="false" diagonalUp="false">
      <left style="thick"/>
      <right/>
      <top/>
      <bottom/>
      <diagonal/>
    </border>
    <border diagonalDown="false" diagonalUp="false">
      <left/>
      <right style="thick"/>
      <top/>
      <bottom/>
      <diagonal/>
    </border>
    <border diagonalDown="false" diagonalUp="false">
      <left style="thick"/>
      <right/>
      <top/>
      <bottom style="thick"/>
      <diagonal/>
    </border>
    <border diagonalDown="false" diagonalUp="false">
      <left/>
      <right/>
      <top/>
      <bottom style="thick"/>
      <diagonal/>
    </border>
    <border diagonalDown="false" diagonalUp="false">
      <left/>
      <right style="thick"/>
      <top/>
      <bottom style="thick"/>
      <diagonal/>
    </border>
    <border diagonalDown="false" diagonalUp="false">
      <left style="thick"/>
      <right style="thick"/>
      <top/>
      <bottom style="thick"/>
      <diagonal/>
    </border>
    <border diagonalDown="false" diagonalUp="false">
      <left style="thick"/>
      <right style="thick"/>
      <top/>
      <bottom/>
      <diagonal/>
    </border>
    <border diagonalDown="false" diagonalUp="false">
      <left style="thick"/>
      <right style="thick"/>
      <top style="thick"/>
      <bottom/>
      <diagonal/>
    </border>
    <border diagonalDown="false" diagonalUp="false">
      <left/>
      <right style="thick"/>
      <top style="thick"/>
      <bottom style="thick"/>
      <diagonal/>
    </border>
    <border diagonalDown="false" diagonalUp="false">
      <left style="thick"/>
      <right/>
      <top style="thick"/>
      <bottom style="thick"/>
      <diagonal/>
    </border>
    <border diagonalDown="false" diagonalUp="false">
      <left/>
      <right/>
      <top style="thick"/>
      <bottom style="thick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64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4" numFmtId="164" xfId="0">
      <alignment horizontal="center" indent="0" shrinkToFit="false" textRotation="0" vertical="center" wrapText="false"/>
      <protection hidden="false" locked="true"/>
    </xf>
    <xf applyAlignment="false" applyBorder="false" applyFont="false" applyProtection="tru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false" applyProtection="tru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true" borderId="2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true" borderId="3" fillId="0" fontId="0" numFmtId="164" xfId="0">
      <alignment horizontal="center" indent="0" shrinkToFit="false" textRotation="0" vertical="bottom" wrapText="false"/>
      <protection hidden="false" locked="false"/>
    </xf>
    <xf applyAlignment="true" applyBorder="true" applyFont="false" applyProtection="true" borderId="3" fillId="0" fontId="0" numFmtId="165" xfId="0">
      <alignment horizontal="general" indent="0" shrinkToFit="false" textRotation="0" vertical="bottom" wrapText="false"/>
      <protection hidden="false" locked="false"/>
    </xf>
    <xf applyAlignment="true" applyBorder="true" applyFont="false" applyProtection="true" borderId="4" fillId="0" fontId="0" numFmtId="165" xfId="0">
      <alignment horizontal="general" indent="0" shrinkToFit="false" textRotation="0" vertical="bottom" wrapText="false"/>
      <protection hidden="false" locked="false"/>
    </xf>
    <xf applyAlignment="true" applyBorder="false" applyFont="true" applyProtection="true" borderId="0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true" borderId="5" fillId="0" fontId="0" numFmtId="164" xfId="0">
      <alignment horizontal="left" indent="0" shrinkToFit="false" textRotation="0" vertical="bottom" wrapText="false"/>
      <protection hidden="false" locked="false"/>
    </xf>
    <xf applyAlignment="true" applyBorder="true" applyFont="false" applyProtection="true" borderId="0" fillId="0" fontId="0" numFmtId="164" xfId="0">
      <alignment horizontal="left" indent="0" shrinkToFit="false" textRotation="0" vertical="bottom" wrapText="false"/>
      <protection hidden="false" locked="false"/>
    </xf>
    <xf applyAlignment="true" applyBorder="true" applyFont="false" applyProtection="true" borderId="6" fillId="0" fontId="0" numFmtId="164" xfId="0">
      <alignment horizontal="left" indent="0" shrinkToFit="false" textRotation="0" vertical="bottom" wrapText="false"/>
      <protection hidden="false" locked="false"/>
    </xf>
    <xf applyAlignment="true" applyBorder="true" applyFont="false" applyProtection="true" borderId="5" fillId="0" fontId="0" numFmtId="165" xfId="0">
      <alignment horizontal="center" indent="0" shrinkToFit="false" textRotation="0" vertical="bottom" wrapText="false"/>
      <protection hidden="false" locked="false"/>
    </xf>
    <xf applyAlignment="true" applyBorder="true" applyFont="false" applyProtection="true" borderId="7" fillId="0" fontId="0" numFmtId="164" xfId="0">
      <alignment horizontal="left" indent="0" shrinkToFit="false" textRotation="0" vertical="bottom" wrapText="false"/>
      <protection hidden="false" locked="false"/>
    </xf>
    <xf applyAlignment="true" applyBorder="true" applyFont="false" applyProtection="true" borderId="8" fillId="0" fontId="0" numFmtId="164" xfId="0">
      <alignment horizontal="left" indent="0" shrinkToFit="false" textRotation="0" vertical="bottom" wrapText="false"/>
      <protection hidden="false" locked="false"/>
    </xf>
    <xf applyAlignment="true" applyBorder="true" applyFont="false" applyProtection="true" borderId="9" fillId="0" fontId="0" numFmtId="164" xfId="0">
      <alignment horizontal="left" indent="0" shrinkToFit="false" textRotation="0" vertical="bottom" wrapText="false"/>
      <protection hidden="false" locked="false"/>
    </xf>
    <xf applyAlignment="false" applyBorder="false" applyFont="true" applyProtection="true" borderId="0" fillId="0" fontId="6" numFmtId="164" xfId="0">
      <alignment horizontal="general" indent="0" shrinkToFit="false" textRotation="0" vertical="bottom" wrapText="false"/>
      <protection hidden="true" locked="true"/>
    </xf>
    <xf applyAlignment="false" applyBorder="false" applyFont="true" applyProtection="true" borderId="0" fillId="0" fontId="5" numFmtId="164" xfId="0">
      <alignment horizontal="general" indent="0" shrinkToFit="false" textRotation="0" vertical="bottom" wrapText="false"/>
      <protection hidden="true" locked="true"/>
    </xf>
    <xf applyAlignment="false" applyBorder="false" applyFont="true" applyProtection="true" borderId="0" fillId="0" fontId="7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true" borderId="7" fillId="0" fontId="0" numFmtId="164" xfId="0">
      <alignment horizontal="left" indent="0" shrinkToFit="false" textRotation="0" vertical="bottom" wrapText="false"/>
      <protection hidden="false" locked="true"/>
    </xf>
    <xf applyAlignment="true" applyBorder="true" applyFont="false" applyProtection="true" borderId="8" fillId="0" fontId="0" numFmtId="164" xfId="0">
      <alignment horizontal="left" indent="0" shrinkToFit="false" textRotation="0" vertical="bottom" wrapText="false"/>
      <protection hidden="false" locked="true"/>
    </xf>
    <xf applyAlignment="true" applyBorder="true" applyFont="false" applyProtection="true" borderId="9" fillId="0" fontId="0" numFmtId="164" xfId="0">
      <alignment horizontal="left" indent="0" shrinkToFit="false" textRotation="0" vertical="bottom" wrapText="false"/>
      <protection hidden="false" locked="true"/>
    </xf>
    <xf applyAlignment="true" applyBorder="false" applyFont="true" applyProtection="true" borderId="0" fillId="0" fontId="7" numFmtId="164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6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0" fillId="0" fontId="5" numFmtId="166" xfId="0">
      <alignment horizontal="left" indent="0" shrinkToFit="false" textRotation="0" vertical="bottom" wrapText="false"/>
      <protection hidden="false" locked="false"/>
    </xf>
    <xf applyAlignment="false" applyBorder="false" applyFont="true" applyProtection="true" borderId="0" fillId="0" fontId="5" numFmtId="164" xfId="0">
      <alignment horizontal="general" indent="0" shrinkToFit="false" textRotation="0" vertical="bottom" wrapText="false"/>
      <protection hidden="true" locked="false"/>
    </xf>
    <xf applyAlignment="true" applyBorder="false" applyFont="true" applyProtection="true" borderId="0" fillId="0" fontId="5" numFmtId="164" xfId="0">
      <alignment horizontal="center" indent="0" shrinkToFit="false" textRotation="0" vertical="bottom" wrapText="false"/>
      <protection hidden="true" locked="true"/>
    </xf>
    <xf applyAlignment="false" applyBorder="true" applyFont="true" applyProtection="true" borderId="0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8" fillId="0" fontId="5" numFmtId="164" xfId="0">
      <alignment horizontal="center" indent="0" shrinkToFit="false" textRotation="0" vertical="bottom" wrapText="false"/>
      <protection hidden="true" locked="true"/>
    </xf>
    <xf applyAlignment="false" applyBorder="false" applyFont="true" applyProtection="false" borderId="0" fillId="0" fontId="9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true" borderId="0" fillId="0" fontId="5" numFmtId="164" xfId="0">
      <alignment horizontal="right" indent="0" shrinkToFit="false" textRotation="0" vertical="bottom" wrapText="false"/>
      <protection hidden="true" locked="true"/>
    </xf>
    <xf applyAlignment="true" applyBorder="true" applyFont="true" applyProtection="true" borderId="1" fillId="2" fontId="5" numFmtId="164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" fillId="2" fontId="5" numFmtId="167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0" fillId="0" fontId="5" numFmtId="164" xfId="0">
      <alignment horizontal="right" indent="0" shrinkToFit="false" textRotation="0" vertical="bottom" wrapText="false"/>
      <protection hidden="true" locked="true"/>
    </xf>
    <xf applyAlignment="true" applyBorder="true" applyFont="true" applyProtection="true" borderId="1" fillId="0" fontId="5" numFmtId="164" xfId="0">
      <alignment horizontal="center" indent="0" shrinkToFit="false" textRotation="0" vertical="bottom" wrapText="false"/>
      <protection hidden="tru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5" fillId="0" fontId="5" numFmtId="164" xfId="0">
      <alignment horizontal="right" indent="0" shrinkToFit="false" textRotation="0" vertical="bottom" wrapText="false"/>
      <protection hidden="true" locked="true"/>
    </xf>
    <xf applyAlignment="true" applyBorder="true" applyFont="true" applyProtection="true" borderId="3" fillId="0" fontId="5" numFmtId="168" xfId="0">
      <alignment horizontal="center" indent="0" shrinkToFit="false" textRotation="0" vertical="bottom" wrapText="false"/>
      <protection hidden="false" locked="false"/>
    </xf>
    <xf applyAlignment="false" applyBorder="true" applyFont="true" applyProtection="true" borderId="5" fillId="0" fontId="5" numFmtId="164" xfId="0">
      <alignment horizontal="general" indent="0" shrinkToFit="false" textRotation="0" vertical="bottom" wrapText="false"/>
      <protection hidden="true" locked="true"/>
    </xf>
    <xf applyAlignment="false" applyBorder="true" applyFont="true" applyProtection="true" borderId="6" fillId="0" fontId="5" numFmtId="164" xfId="0">
      <alignment horizontal="general" indent="0" shrinkToFit="false" textRotation="0" vertical="bottom" wrapText="false"/>
      <protection hidden="true" locked="true"/>
    </xf>
    <xf applyAlignment="false" applyBorder="true" applyFont="true" applyProtection="true" borderId="3" fillId="0" fontId="5" numFmtId="164" xfId="0">
      <alignment horizontal="general" indent="0" shrinkToFit="false" textRotation="0" vertical="bottom" wrapText="false"/>
      <protection hidden="true" locked="true"/>
    </xf>
    <xf applyAlignment="false" applyBorder="true" applyFont="true" applyProtection="true" borderId="0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7" numFmtId="164" xfId="0">
      <alignment horizontal="center" indent="0" shrinkToFit="false" textRotation="0" vertical="bottom" wrapText="false"/>
      <protection hidden="true" locked="true"/>
    </xf>
    <xf applyAlignment="false" applyBorder="true" applyFont="true" applyProtection="true" borderId="7" fillId="0" fontId="5" numFmtId="164" xfId="0">
      <alignment horizontal="general" indent="0" shrinkToFit="false" textRotation="0" vertical="bottom" wrapText="false"/>
      <protection hidden="true" locked="true"/>
    </xf>
    <xf applyAlignment="false" applyBorder="true" applyFont="true" applyProtection="true" borderId="9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4" xfId="0">
      <alignment horizontal="right" indent="0" shrinkToFit="false" textRotation="0" vertical="bottom" wrapText="false"/>
      <protection hidden="true" locked="true"/>
    </xf>
    <xf applyAlignment="true" applyBorder="true" applyFont="true" applyProtection="true" borderId="1" fillId="0" fontId="5" numFmtId="169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" fillId="0" fontId="10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4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70" xfId="0">
      <alignment horizontal="right" indent="0" shrinkToFit="false" textRotation="0" vertical="bottom" wrapText="false"/>
      <protection hidden="true" locked="true"/>
    </xf>
    <xf applyAlignment="false" applyBorder="true" applyFont="true" applyProtection="true" borderId="3" fillId="0" fontId="5" numFmtId="164" xfId="0">
      <alignment horizontal="general" indent="0" shrinkToFit="false" textRotation="0" vertical="bottom" wrapText="false"/>
      <protection hidden="tru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9" numFmtId="164" xfId="0">
      <alignment horizontal="left" indent="0" shrinkToFit="false" textRotation="0" vertical="bottom" wrapText="false"/>
      <protection hidden="true" locked="true"/>
    </xf>
    <xf applyAlignment="false" applyBorder="false" applyFont="true" applyProtection="true" borderId="0" fillId="0" fontId="5" numFmtId="167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70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6" fillId="0" fontId="7" numFmtId="170" xfId="0">
      <alignment horizontal="center" indent="0" shrinkToFit="false" textRotation="0" vertical="bottom" wrapText="false"/>
      <protection hidden="true" locked="true"/>
    </xf>
    <xf applyAlignment="false" applyBorder="tru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6" fillId="0" fontId="5" numFmtId="164" xfId="0">
      <alignment horizontal="right" indent="0" shrinkToFit="false" textRotation="0" vertical="bottom" wrapText="false"/>
      <protection hidden="true" locked="true"/>
    </xf>
    <xf applyAlignment="false" applyBorder="false" applyFont="true" applyProtection="true" borderId="0" fillId="0" fontId="11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4" xfId="0">
      <alignment horizontal="right" indent="0" shrinkToFit="false" textRotation="0" vertical="center" wrapText="false"/>
      <protection hidden="true" locked="true"/>
    </xf>
    <xf applyAlignment="true" applyBorder="true" applyFont="true" applyProtection="true" borderId="6" fillId="0" fontId="11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" fillId="0" fontId="5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9" fillId="0" fontId="11" numFmtId="167" xfId="0">
      <alignment horizontal="center" indent="0" shrinkToFit="false" textRotation="0" vertical="bottom" wrapText="false"/>
      <protection hidden="true" locked="true"/>
    </xf>
    <xf applyAlignment="false" applyBorder="fals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10" fillId="0" fontId="10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2" fillId="0" fontId="5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0" fillId="2" fontId="5" numFmtId="167" xfId="0">
      <alignment horizontal="center" indent="0" shrinkToFit="false" textRotation="0" vertical="bottom" wrapText="false"/>
      <protection hidden="true" locked="false"/>
    </xf>
    <xf applyAlignment="true" applyBorder="true" applyFont="true" applyProtection="true" borderId="0" fillId="0" fontId="11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false" borderId="6" fillId="0" fontId="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1" fillId="2" fontId="5" numFmtId="167" xfId="0">
      <alignment horizontal="center" indent="0" shrinkToFit="false" textRotation="0" vertical="bottom" wrapText="false"/>
      <protection hidden="true" locked="false"/>
    </xf>
    <xf applyAlignment="true" applyBorder="true" applyFont="true" applyProtection="false" borderId="6" fillId="0" fontId="5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true" borderId="11" fillId="0" fontId="5" numFmtId="167" xfId="0">
      <alignment horizontal="center" indent="0" shrinkToFit="false" textRotation="0" vertical="bottom" wrapText="false"/>
      <protection hidden="true" locked="true"/>
    </xf>
    <xf applyAlignment="false" applyBorder="true" applyFont="true" applyProtection="true" borderId="0" fillId="0" fontId="7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1" fillId="0" fontId="5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0" fillId="2" fontId="5" numFmtId="164" xfId="0">
      <alignment horizontal="center" indent="0" shrinkToFit="false" textRotation="0" vertical="bottom" wrapText="false"/>
      <protection hidden="false" locked="false"/>
    </xf>
    <xf applyAlignment="false" applyBorder="true" applyFont="true" applyProtection="true" borderId="0" fillId="0" fontId="5" numFmtId="167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1" fillId="0" fontId="10" numFmtId="167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2" fillId="0" fontId="5" numFmtId="168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1" fillId="0" fontId="5" numFmtId="168" xfId="0">
      <alignment horizontal="center" indent="0" shrinkToFit="false" textRotation="0" vertical="bottom" wrapText="false"/>
      <protection hidden="true" locked="true"/>
    </xf>
    <xf applyAlignment="false" applyBorder="true" applyFont="true" applyProtection="true" borderId="1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12" fillId="2" fontId="5" numFmtId="169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0" fillId="0" fontId="7" numFmtId="164" xfId="0">
      <alignment horizontal="right" indent="0" shrinkToFit="false" textRotation="0" vertical="bottom" wrapText="false"/>
      <protection hidden="true" locked="true"/>
    </xf>
    <xf applyAlignment="false" applyBorder="true" applyFont="true" applyProtection="true" borderId="3" fillId="0" fontId="5" numFmtId="169" xfId="0">
      <alignment horizontal="general" indent="0" shrinkToFit="false" textRotation="0" vertical="bottom" wrapText="false"/>
      <protection hidden="true" locked="true"/>
    </xf>
    <xf applyAlignment="true" applyBorder="true" applyFont="false" applyProtection="false" borderId="0" fillId="0" fontId="0" numFmtId="167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9" xfId="0">
      <alignment horizontal="general" indent="0" shrinkToFit="false" textRotation="0" vertical="bottom" wrapText="false"/>
      <protection hidden="false" locked="true"/>
    </xf>
    <xf applyAlignment="false" applyBorder="true" applyFont="true" applyProtection="true" borderId="0" fillId="0" fontId="5" numFmtId="169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9" xfId="0">
      <alignment horizontal="right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71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8" xfId="0">
      <alignment horizontal="center" indent="0" shrinkToFit="false" textRotation="0" vertical="bottom" wrapText="false"/>
      <protection hidden="true" locked="true"/>
    </xf>
    <xf applyAlignment="false" applyBorder="true" applyFont="true" applyProtection="true" borderId="0" fillId="0" fontId="5" numFmtId="171" xfId="0">
      <alignment horizontal="general" indent="0" shrinkToFit="false" textRotation="0" vertical="bottom" wrapText="false"/>
      <protection hidden="true" locked="true"/>
    </xf>
    <xf applyAlignment="false" applyBorder="true" applyFont="false" applyProtection="false" borderId="0" fillId="0" fontId="0" numFmtId="169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true" borderId="0" fillId="0" fontId="5" numFmtId="169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9" fillId="0" fontId="5" numFmtId="164" xfId="0">
      <alignment horizontal="left" indent="0" shrinkToFit="false" textRotation="0" vertical="bottom" wrapText="false"/>
      <protection hidden="true" locked="true"/>
    </xf>
    <xf applyAlignment="true" applyBorder="true" applyFont="true" applyProtection="true" borderId="10" fillId="0" fontId="5" numFmtId="164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7" fillId="0" fontId="5" numFmtId="164" xfId="0">
      <alignment horizontal="center" indent="0" shrinkToFit="false" textRotation="0" vertical="bottom" wrapText="false"/>
      <protection hidden="true" locked="true"/>
    </xf>
    <xf applyAlignment="true" applyBorder="tru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13" fillId="2" fontId="5" numFmtId="164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" fillId="2" fontId="5" numFmtId="169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4" fillId="2" fontId="5" numFmtId="164" xfId="0">
      <alignment horizontal="center" indent="0" shrinkToFit="false" textRotation="0" vertical="bottom" wrapText="false"/>
      <protection hidden="false" locked="false"/>
    </xf>
    <xf applyAlignment="false" applyBorder="true" applyFont="true" applyProtection="true" borderId="15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13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4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3" fillId="2" fontId="5" numFmtId="167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4" fillId="2" fontId="5" numFmtId="167" xfId="0">
      <alignment horizontal="center" indent="0" shrinkToFit="false" textRotation="0" vertical="bottom" wrapText="false"/>
      <protection hidden="false" locked="false"/>
    </xf>
    <xf applyAlignment="false" applyBorder="true" applyFont="true" applyProtection="true" borderId="5" fillId="0" fontId="5" numFmtId="164" xfId="0">
      <alignment horizontal="general" indent="0" shrinkToFit="false" textRotation="0" vertical="bottom" wrapText="false"/>
      <protection hidden="true" locked="true"/>
    </xf>
    <xf applyAlignment="true" applyBorder="true" applyFont="true" applyProtection="true" borderId="4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12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2" fillId="2" fontId="5" numFmtId="168" xfId="0">
      <alignment horizontal="center" indent="0" shrinkToFit="false" textRotation="0" vertical="bottom" wrapText="false"/>
      <protection hidden="false" locked="false"/>
    </xf>
    <xf applyAlignment="true" applyBorder="true" applyFont="true" applyProtection="true" borderId="6" fillId="0" fontId="5" numFmtId="169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9" xfId="0">
      <alignment horizontal="center" indent="0" shrinkToFit="false" textRotation="0" vertical="bottom" wrapText="false"/>
      <protection hidden="true" locked="true"/>
    </xf>
    <xf applyAlignment="true" applyBorder="true" applyFont="true" applyProtection="true" borderId="0" fillId="0" fontId="5" numFmtId="169" xfId="0">
      <alignment horizontal="center" indent="0" shrinkToFit="false" textRotation="0" vertical="bottom" wrapText="false"/>
      <protection hidden="true" locked="true"/>
    </xf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left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5" xfId="0">
      <alignment horizontal="center" indent="0" shrinkToFit="false" textRotation="0" vertical="bottom" wrapText="false"/>
      <protection hidden="false" locked="true"/>
    </xf>
    <xf applyAlignment="true" applyBorder="true" applyFont="false" applyProtection="true" borderId="0" fillId="0" fontId="0" numFmtId="164" xfId="0">
      <alignment horizontal="left" indent="0" shrinkToFit="false" textRotation="0" vertical="bottom" wrapText="false"/>
      <protection hidden="false" locked="fals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8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13" numFmtId="164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4" xfId="0">
      <alignment horizontal="general" indent="0" shrinkToFit="false" textRotation="0" vertical="center" wrapText="false"/>
      <protection hidden="false" locked="true"/>
    </xf>
    <xf applyAlignment="true" applyBorder="false" applyFont="false" applyProtection="false" borderId="0" fillId="0" fontId="0" numFmtId="164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14" numFmtId="164" xfId="0">
      <alignment horizontal="general" indent="0" shrinkToFit="false" textRotation="0" vertical="center" wrapText="false"/>
      <protection hidden="false" locked="true"/>
    </xf>
    <xf applyAlignment="true" applyBorder="true" applyFont="false" applyProtection="false" borderId="8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8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71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9" xfId="0">
      <alignment horizontal="center" indent="0" shrinkToFit="false" textRotation="0" vertical="bottom" wrapText="false"/>
      <protection hidden="false" locked="true"/>
    </xf>
    <xf applyAlignment="false" applyBorder="true" applyFont="true" applyProtection="true" borderId="0" fillId="0" fontId="9" numFmtId="164" xfId="0">
      <alignment horizontal="general" indent="0" shrinkToFit="false" textRotation="0" vertical="bottom" wrapText="false"/>
      <protection hidden="true" locked="true"/>
    </xf>
    <xf applyAlignment="false" applyBorder="true" applyFont="true" applyProtection="false" borderId="0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5" numFmtId="169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0" fillId="0" fontId="9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8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71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8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9" numFmtId="164" xfId="0">
      <alignment horizontal="right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8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9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4" fillId="0" fontId="0" numFmtId="168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2" fillId="0" fontId="0" numFmtId="168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3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3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9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5" numFmtId="169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9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6" numFmtId="171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72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0" fillId="0" fontId="16" numFmtId="168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6" numFmtId="168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0" fillId="0" fontId="16" numFmtId="167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0" fillId="0" fontId="16" numFmtId="167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/>
</file>

<file path=xl/drawings/drawing2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absolute">
    <xdr:from>
      <xdr:col>2</xdr:col>
      <xdr:colOff>78480</xdr:colOff>
      <xdr:row>23</xdr:row>
      <xdr:rowOff>165960</xdr:rowOff>
    </xdr:from>
    <xdr:to>
      <xdr:col>5</xdr:col>
      <xdr:colOff>531000</xdr:colOff>
      <xdr:row>36</xdr:row>
      <xdr:rowOff>11520</xdr:rowOff>
    </xdr:to>
    <xdr:pic>
      <xdr:nvPicPr>
        <xdr:cNvPr descr="" id="0" name="Picture 1"/>
        <xdr:cNvPicPr/>
      </xdr:nvPicPr>
      <xdr:blipFill>
        <a:blip r:embed="rId1"/>
        <a:stretch>
          <a:fillRect/>
        </a:stretch>
      </xdr:blipFill>
      <xdr:spPr>
        <a:xfrm>
          <a:off x="1258920" y="4318560"/>
          <a:ext cx="2521080" cy="219852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4"/>
  <sheetViews>
    <sheetView colorId="64" defaultGridColor="true" rightToLeft="false" showFormulas="false" showGridLines="true" showOutlineSymbols="true" showRowColHeaders="true" showZeros="true" tabSelected="true" topLeftCell="A34" view="normal" windowProtection="false" workbookViewId="0" zoomScale="100" zoomScaleNormal="100" zoomScalePageLayoutView="100">
      <selection activeCell="I60" activeCellId="0" pane="topLeft" sqref="I60"/>
    </sheetView>
  </sheetViews>
  <sheetFormatPr defaultRowHeight="12.4"/>
  <cols>
    <col collapsed="false" hidden="false" max="1" min="1" style="0" width="9.28571428571429"/>
    <col collapsed="false" hidden="false" max="4" min="2" style="0" width="8.72959183673469"/>
    <col collapsed="false" hidden="false" max="5" min="5" style="0" width="10.2857142857143"/>
    <col collapsed="false" hidden="false" max="6" min="6" style="0" width="9.5765306122449"/>
    <col collapsed="false" hidden="false" max="7" min="7" style="0" width="11.2857142857143"/>
    <col collapsed="false" hidden="false" max="8" min="8" style="0" width="8.72959183673469"/>
    <col collapsed="false" hidden="false" max="9" min="9" style="0" width="10.1428571428571"/>
    <col collapsed="false" hidden="false" max="10" min="10" style="0" width="9.70918367346939"/>
    <col collapsed="false" hidden="false" max="1025" min="11" style="0" width="8.72959183673469"/>
  </cols>
  <sheetData>
    <row collapsed="false" customFormat="false" customHeight="true" hidden="false" ht="12.4" outlineLevel="0" r="1">
      <c r="A1" s="1" t="s">
        <v>0</v>
      </c>
      <c r="B1" s="1"/>
      <c r="C1" s="1"/>
      <c r="D1" s="1"/>
      <c r="F1" s="0" t="s">
        <v>1</v>
      </c>
    </row>
    <row collapsed="false" customFormat="false" customHeight="true" hidden="false" ht="12.4" outlineLevel="0" r="2">
      <c r="A2" s="1"/>
      <c r="B2" s="1"/>
      <c r="C2" s="1"/>
      <c r="D2" s="1"/>
      <c r="E2" s="2"/>
      <c r="F2" s="3"/>
      <c r="G2" s="4" t="s">
        <v>2</v>
      </c>
      <c r="H2" s="5"/>
      <c r="I2" s="6"/>
      <c r="J2" s="7"/>
    </row>
    <row collapsed="false" customFormat="false" customHeight="true" hidden="false" ht="12.4" outlineLevel="0" r="3">
      <c r="A3" s="1"/>
      <c r="B3" s="1"/>
      <c r="C3" s="1"/>
      <c r="D3" s="1"/>
      <c r="E3" s="2"/>
      <c r="F3" s="8"/>
      <c r="G3" s="9"/>
      <c r="H3" s="10"/>
      <c r="I3" s="10"/>
      <c r="J3" s="11"/>
    </row>
    <row collapsed="false" customFormat="false" customHeight="true" hidden="false" ht="12.4" outlineLevel="0" r="4">
      <c r="A4" s="1"/>
      <c r="B4" s="1"/>
      <c r="C4" s="1"/>
      <c r="D4" s="1"/>
      <c r="E4" s="2"/>
      <c r="F4" s="2"/>
      <c r="G4" s="12"/>
      <c r="H4" s="10"/>
      <c r="I4" s="10"/>
      <c r="J4" s="11"/>
    </row>
    <row collapsed="false" customFormat="false" customHeight="true" hidden="false" ht="12.4" outlineLevel="0" r="5">
      <c r="A5" s="1"/>
      <c r="B5" s="1"/>
      <c r="C5" s="1"/>
      <c r="D5" s="1"/>
      <c r="E5" s="2"/>
      <c r="F5" s="3"/>
      <c r="G5" s="9"/>
      <c r="H5" s="10"/>
      <c r="I5" s="10"/>
      <c r="J5" s="11"/>
    </row>
    <row collapsed="false" customFormat="false" customHeight="true" hidden="false" ht="12.4" outlineLevel="0" r="6">
      <c r="A6" s="1"/>
      <c r="B6" s="1"/>
      <c r="C6" s="1"/>
      <c r="D6" s="1"/>
      <c r="E6" s="2"/>
      <c r="F6" s="2"/>
      <c r="G6" s="13"/>
      <c r="H6" s="14"/>
      <c r="I6" s="14"/>
      <c r="J6" s="15"/>
    </row>
    <row collapsed="false" customFormat="false" customHeight="true" hidden="false" ht="12.75" outlineLevel="0" r="7">
      <c r="A7" s="16"/>
      <c r="B7" s="17"/>
      <c r="C7" s="17"/>
      <c r="D7" s="18"/>
      <c r="E7" s="19"/>
      <c r="F7" s="19"/>
      <c r="G7" s="20" t="s">
        <v>3</v>
      </c>
      <c r="H7" s="21"/>
      <c r="I7" s="21"/>
      <c r="J7" s="22"/>
    </row>
    <row collapsed="false" customFormat="false" customHeight="true" hidden="false" ht="12.75" outlineLevel="0" r="8">
      <c r="A8" s="17" t="s">
        <v>4</v>
      </c>
      <c r="B8" s="17"/>
      <c r="C8" s="23" t="s">
        <v>0</v>
      </c>
      <c r="D8" s="18"/>
      <c r="E8" s="2"/>
      <c r="F8" s="24"/>
      <c r="G8" s="25"/>
      <c r="H8" s="10"/>
      <c r="I8" s="10"/>
      <c r="J8" s="10"/>
    </row>
    <row collapsed="false" customFormat="true" customHeight="true" hidden="false" ht="12.75" outlineLevel="0" r="9" s="30">
      <c r="A9" s="26" t="b">
        <f aca="false">FALSE()</f>
        <v>0</v>
      </c>
      <c r="B9" s="17"/>
      <c r="C9" s="27" t="s">
        <v>5</v>
      </c>
      <c r="D9" s="27" t="s">
        <v>6</v>
      </c>
      <c r="E9" s="27" t="s">
        <v>7</v>
      </c>
      <c r="F9" s="17"/>
      <c r="G9" s="28" t="s">
        <v>8</v>
      </c>
      <c r="H9" s="17"/>
      <c r="I9" s="29"/>
      <c r="J9" s="29"/>
    </row>
    <row collapsed="false" customFormat="false" customHeight="true" hidden="false" ht="12.75" outlineLevel="0" r="10">
      <c r="B10" s="31" t="s">
        <v>9</v>
      </c>
      <c r="C10" s="32" t="n">
        <v>400</v>
      </c>
      <c r="D10" s="32" t="n">
        <v>400</v>
      </c>
      <c r="E10" s="32" t="n">
        <v>400</v>
      </c>
      <c r="F10" s="31" t="s">
        <v>10</v>
      </c>
      <c r="G10" s="33" t="n">
        <v>1</v>
      </c>
      <c r="H10" s="34"/>
      <c r="I10" s="35" t="s">
        <v>11</v>
      </c>
      <c r="J10" s="35"/>
      <c r="M10" s="36"/>
    </row>
    <row collapsed="false" customFormat="false" customHeight="true" hidden="false" ht="12.75" outlineLevel="0" r="11">
      <c r="A11" s="17"/>
      <c r="B11" s="31" t="s">
        <v>12</v>
      </c>
      <c r="C11" s="32" t="n">
        <v>4.15</v>
      </c>
      <c r="D11" s="32" t="n">
        <v>4.15</v>
      </c>
      <c r="E11" s="32" t="n">
        <v>4.15</v>
      </c>
      <c r="F11" s="37"/>
      <c r="G11" s="38"/>
      <c r="H11" s="28"/>
      <c r="I11" s="39" t="s">
        <v>13</v>
      </c>
      <c r="J11" s="40"/>
    </row>
    <row collapsed="false" customFormat="true" customHeight="true" hidden="false" ht="12.75" outlineLevel="0" r="12" s="30">
      <c r="A12" s="18" t="str">
        <f aca="false">IF(A9,'Blad2 '!E1,'Blad2 '!E2)</f>
        <v>3 phas</v>
      </c>
      <c r="B12" s="17"/>
      <c r="C12" s="41"/>
      <c r="D12" s="42"/>
      <c r="E12" s="41"/>
      <c r="F12" s="43"/>
      <c r="G12" s="43"/>
      <c r="H12" s="28"/>
      <c r="I12" s="44" t="s">
        <v>14</v>
      </c>
      <c r="J12" s="45"/>
    </row>
    <row collapsed="false" customFormat="false" customHeight="true" hidden="false" ht="12.75" outlineLevel="0" r="13">
      <c r="A13" s="18"/>
      <c r="B13" s="31"/>
      <c r="C13" s="42"/>
      <c r="D13" s="46" t="str">
        <f aca="false">IF(A9,'Blad2 '!E4,'Blad2 '!E5)</f>
        <v>           Elektrisk effekt 3 phas  </v>
      </c>
      <c r="E13" s="47" t="n">
        <f aca="false">IF(A9,'Blad2 '!J4,'Blad2 '!J5)</f>
        <v>2.87520434056434</v>
      </c>
      <c r="F13" s="17" t="s">
        <v>15</v>
      </c>
      <c r="G13" s="17"/>
      <c r="H13" s="27"/>
      <c r="I13" s="35" t="s">
        <v>16</v>
      </c>
      <c r="J13" s="35" t="s">
        <v>17</v>
      </c>
    </row>
    <row collapsed="false" customFormat="false" customHeight="true" hidden="false" ht="12.75" outlineLevel="0" r="14">
      <c r="B14" s="31" t="s">
        <v>18</v>
      </c>
      <c r="C14" s="33" t="n">
        <v>0.9</v>
      </c>
      <c r="D14" s="17" t="s">
        <v>19</v>
      </c>
      <c r="E14" s="48" t="n">
        <f aca="false">IF(C14&lt;&gt;'Blad2 '!A10,C14+1,"")</f>
        <v>1.9</v>
      </c>
      <c r="F14" s="17" t="s">
        <v>20</v>
      </c>
      <c r="G14" s="49"/>
      <c r="H14" s="50"/>
      <c r="I14" s="17"/>
      <c r="J14" s="51"/>
    </row>
    <row collapsed="false" customFormat="false" customHeight="true" hidden="false" ht="12.75" outlineLevel="0" r="15">
      <c r="A15" s="52"/>
      <c r="B15" s="17"/>
      <c r="C15" s="17"/>
      <c r="D15" s="31" t="s">
        <v>21</v>
      </c>
      <c r="E15" s="48" t="n">
        <f aca="false">IF(C14&lt;&gt;'Blad2 '!A10,VLOOKUP(E14,Blad3!A6:G245,3),"")</f>
        <v>-12</v>
      </c>
      <c r="F15" s="17" t="s">
        <v>22</v>
      </c>
      <c r="G15" s="49"/>
      <c r="H15" s="53"/>
      <c r="I15" s="54"/>
      <c r="J15" s="48" t="n">
        <f aca="false">IF(C14&lt;&gt;'Blad2 '!A10,VLOOKUP(E14,Blad3!A6:G245,7),"")</f>
        <v>390.4</v>
      </c>
    </row>
    <row collapsed="false" customFormat="false" customHeight="true" hidden="false" ht="12.75" outlineLevel="0" r="16">
      <c r="A16" s="52"/>
      <c r="B16" s="17"/>
      <c r="C16" s="17"/>
      <c r="D16" s="31" t="s">
        <v>23</v>
      </c>
      <c r="E16" s="48" t="n">
        <f aca="false">IF(C14&lt;&gt;'Blad2 '!A10,VLOOKUP(E14,Blad3!A6:G245,2),"")</f>
        <v>-12</v>
      </c>
      <c r="F16" s="17" t="s">
        <v>22</v>
      </c>
      <c r="G16" s="55"/>
      <c r="H16" s="55"/>
      <c r="I16" s="48" t="n">
        <f aca="false">IF(C14&lt;&gt;'Blad2 '!A10,VLOOKUP(E14,Blad3!A6:G110,6),"")</f>
        <v>184.16</v>
      </c>
      <c r="J16" s="54"/>
    </row>
    <row collapsed="false" customFormat="false" customHeight="true" hidden="false" ht="12.75" outlineLevel="0" r="17">
      <c r="B17" s="31" t="s">
        <v>24</v>
      </c>
      <c r="C17" s="32" t="n">
        <v>19</v>
      </c>
      <c r="D17" s="17" t="s">
        <v>19</v>
      </c>
      <c r="E17" s="48" t="n">
        <f aca="false">IF(C17&gt;0,C17+1,"")</f>
        <v>20</v>
      </c>
      <c r="F17" s="17" t="s">
        <v>20</v>
      </c>
      <c r="G17" s="55"/>
      <c r="H17" s="55"/>
      <c r="I17" s="54"/>
      <c r="J17" s="54"/>
    </row>
    <row collapsed="false" customFormat="false" customHeight="true" hidden="false" ht="12.75" outlineLevel="0" r="18">
      <c r="A18" s="17"/>
      <c r="B18" s="17"/>
      <c r="C18" s="17"/>
      <c r="D18" s="31" t="s">
        <v>25</v>
      </c>
      <c r="E18" s="48" t="n">
        <f aca="false">IF(C17&gt;0,VLOOKUP(E17,Blad3!A6:G245,3),"")</f>
        <v>65</v>
      </c>
      <c r="F18" s="17" t="s">
        <v>22</v>
      </c>
      <c r="G18" s="56"/>
      <c r="H18" s="53"/>
      <c r="I18" s="54"/>
      <c r="J18" s="48" t="n">
        <f aca="false">IF(C17&gt;0,VLOOKUP(E17,Blad3!A6:G245,7),"")</f>
        <v>0</v>
      </c>
      <c r="L18" s="36"/>
    </row>
    <row collapsed="false" customFormat="false" customHeight="true" hidden="false" ht="12.75" outlineLevel="0" r="19">
      <c r="A19" s="17"/>
      <c r="B19" s="17"/>
      <c r="C19" s="17"/>
      <c r="D19" s="31" t="s">
        <v>26</v>
      </c>
      <c r="E19" s="48" t="n">
        <f aca="false">IF(C17&gt;0,VLOOKUP(E17,Blad3!A6:G245,2),"")</f>
        <v>65</v>
      </c>
      <c r="F19" s="17" t="s">
        <v>22</v>
      </c>
      <c r="G19" s="49"/>
      <c r="H19" s="57"/>
      <c r="I19" s="48" t="n">
        <f aca="false">IF(C17&gt;0,VLOOKUP(E17,Blad3!A6:G245,6),"")</f>
        <v>0</v>
      </c>
      <c r="J19" s="54"/>
      <c r="L19" s="58"/>
    </row>
    <row collapsed="false" customFormat="false" customHeight="true" hidden="false" ht="12.75" outlineLevel="0" r="20">
      <c r="A20" s="28"/>
      <c r="B20" s="34" t="s">
        <v>27</v>
      </c>
      <c r="C20" s="28"/>
      <c r="D20" s="59" t="s">
        <v>28</v>
      </c>
      <c r="E20" s="32" t="n">
        <v>106.5</v>
      </c>
      <c r="F20" s="17" t="s">
        <v>29</v>
      </c>
      <c r="G20" s="60" t="str">
        <f aca="false">IF(E20&lt;&gt;'Blad2 '!A10,IF(C17&lt;&gt;'Blad2 '!A10,"",'Blad2 '!A13),"")</f>
        <v/>
      </c>
      <c r="H20" s="17"/>
      <c r="I20" s="54"/>
      <c r="J20" s="48" t="n">
        <f aca="false">IF(C17&gt;0,IF(E20&gt;0,IF(E20&gt;E18,J18+(VLOOKUP(E17,Blad3!A6:H245,8)*(E20-E18)),J18),""),"")</f>
        <v>0</v>
      </c>
      <c r="L20" s="36"/>
    </row>
    <row collapsed="false" customFormat="false" customHeight="true" hidden="false" ht="12.75" outlineLevel="0" r="21">
      <c r="A21" s="61" t="s">
        <v>30</v>
      </c>
      <c r="B21" s="61"/>
      <c r="C21" s="28"/>
      <c r="D21" s="59" t="s">
        <v>31</v>
      </c>
      <c r="E21" s="32"/>
      <c r="F21" s="17" t="s">
        <v>22</v>
      </c>
      <c r="G21" s="60" t="str">
        <f aca="false">IF(E21&gt;0,IF(C17&lt;&gt;'Blad2 '!A10,IF(E20&gt;0,IF(E21&gt;E20,'Blad2 '!E9,""),'Blad2 '!H7),'Blad2 '!A13),"")</f>
        <v/>
      </c>
      <c r="H21" s="17"/>
      <c r="I21" s="54"/>
      <c r="J21" s="48" t="str">
        <f aca="false">IF(C17&gt;0,IF(E21&gt;0,IF(E21&gt;E18,J18+(VLOOKUP(E17,Blad3!A6:H245,8)*(E21-E18)),J18),""),"")</f>
        <v/>
      </c>
      <c r="L21" s="58"/>
    </row>
    <row collapsed="false" customFormat="false" customHeight="true" hidden="false" ht="12.75" outlineLevel="0" r="22">
      <c r="A22" s="61"/>
      <c r="B22" s="61"/>
      <c r="C22" s="28"/>
      <c r="D22" s="59" t="s">
        <v>32</v>
      </c>
      <c r="E22" s="32"/>
      <c r="F22" s="17" t="s">
        <v>22</v>
      </c>
      <c r="G22" s="60" t="str">
        <f aca="false">IF(E22&lt;&gt;'Blad2 '!A10,IF(C17&lt;&gt;'Blad2 '!A10,IF(E21&lt;&gt;'Blad2 '!A10,IF(E22&lt;=E21,IF(E22&lt;E19,'Blad2 '!A8,""),'Blad2 '!E9),'Blad2 '!E11),'Blad2 '!A13),"")</f>
        <v/>
      </c>
      <c r="H22" s="17"/>
      <c r="I22" s="62" t="str">
        <f aca="false">IF(C17&gt;0,IF(E22&gt;0,IF(E22&lt;E19,IF(E22&gt;E18,J18+(VLOOKUP(E17,Blad3!A6:I245,9)*(E22-E18)),IF(E22&gt;E19,VLOOKUP(E22,Blad3!C6:G245,5),VLOOKUP(E22,Blad3!B6:F245,5))),""),""),"")</f>
        <v/>
      </c>
      <c r="J22" s="48" t="str">
        <f aca="false">IF(C17&gt;0,IF(E22&gt;0,IF(E22&gt;=E18,J18+(VLOOKUP(E17,Blad3!A6:H245,8)*(E22-E18)),VLOOKUP(E22,Blad3!B6:F245,5)),""),"")</f>
        <v/>
      </c>
    </row>
    <row collapsed="false" customFormat="false" customHeight="true" hidden="false" ht="12.75" outlineLevel="0" r="23">
      <c r="A23" s="61"/>
      <c r="B23" s="61"/>
      <c r="C23" s="28"/>
      <c r="D23" s="59" t="s">
        <v>33</v>
      </c>
      <c r="E23" s="63" t="str">
        <f aca="false">IF(C17&gt;0,IF(E20&gt;0,IF(E21&gt;0,IF(E22&gt;0,J21-J22,""),""),""),"")</f>
        <v/>
      </c>
      <c r="F23" s="17" t="s">
        <v>34</v>
      </c>
      <c r="G23" s="18"/>
      <c r="H23" s="17"/>
      <c r="I23" s="54"/>
      <c r="J23" s="54"/>
    </row>
    <row collapsed="false" customFormat="false" customHeight="true" hidden="false" ht="12.75" outlineLevel="0" r="24">
      <c r="A24" s="61" t="s">
        <v>35</v>
      </c>
      <c r="B24" s="61"/>
      <c r="C24" s="28"/>
      <c r="D24" s="59" t="s">
        <v>36</v>
      </c>
      <c r="E24" s="32" t="n">
        <v>106.5</v>
      </c>
      <c r="F24" s="17" t="s">
        <v>22</v>
      </c>
      <c r="G24" s="60" t="str">
        <f aca="false">IF(E24&gt;0,      IF(E20&gt;0,    IF(E24&lt;=E20, IF(E24&gt;=E19,       IF(E21&lt;&gt;'Blad2 '!A10, IF(E22&lt;&gt;'Blad2 '!A10,       IF(E24&lt;=E22,IF(E24&lt;E19,'Blad2 '!A8,""), 'Blad2 '!E9),'Blad2 '!H11),""),     'Blad2 '!A8),'Blad2 '!E9),     'Blad2 '!H7),     "")</f>
        <v/>
      </c>
      <c r="H24" s="17"/>
      <c r="I24" s="64" t="str">
        <f aca="false">IF(C17&gt;0,IF(E24&gt;0,IF(E24&lt;E19,IF(E24&gt;E18,J18+(VLOOKUP(E17,Blad3!A6:I245,9)*(E24-E18)),IF(E24&gt;E19,VLOOKUP(E22,Blad3!C6:G245,5),VLOOKUP(E24,Blad3!B6:F245,5))),""),""),"")</f>
        <v/>
      </c>
      <c r="J24" s="48" t="n">
        <f aca="false">IF(C17&gt;0,IF(E24&gt;0,IF(E24&gt;=E18,J18+(VLOOKUP(E17,Blad3!A6:H245,8)*(E24-E18)),VLOOKUP(E24,Blad3!B6:G245,5)),""),"")</f>
        <v>0</v>
      </c>
      <c r="L24" s="65"/>
    </row>
    <row collapsed="false" customFormat="false" customHeight="true" hidden="false" ht="12.75" outlineLevel="0" r="25">
      <c r="A25" s="61"/>
      <c r="B25" s="61"/>
      <c r="C25" s="28"/>
      <c r="D25" s="59" t="s">
        <v>37</v>
      </c>
      <c r="E25" s="32" t="n">
        <v>46.5</v>
      </c>
      <c r="F25" s="17" t="s">
        <v>38</v>
      </c>
      <c r="G25" s="60" t="str">
        <f aca="false">IF(E25&gt;0,IF(E24&gt;0,IF(E25&gt;E19,IF(E24&lt;&gt;'Blad2 '!A10,IF(E25&gt;E24,'Blad2 '!H14,'Blad2 '!E15),""),""),'Blad2 '!E11),"")</f>
        <v/>
      </c>
      <c r="H25" s="17"/>
      <c r="I25" s="66" t="n">
        <f aca="false">IF(C$17&gt;0,IF(E25&gt;0,IF(E25&gt;E$18,J$18+(VLOOKUP(E$17,Blad3!A$6:I$245,8)*(E25-E$18)),IF(E25&gt;E$19,VLOOKUP(E25,Blad3!C$6:G$245,5),VLOOKUP(E25,Blad3!B$6:F$245,5))),""),"")</f>
        <v>265</v>
      </c>
      <c r="J25" s="67" t="str">
        <f aca="false">IF(C14&lt;&gt;'Blad2 '!A10,IF(C17&lt;&gt;'Blad2 '!A10,IF(E24&lt;&gt;'Blad2 '!A10,IF(E25&gt;E19,I25,""),""),""),"")</f>
        <v/>
      </c>
    </row>
    <row collapsed="false" customFormat="false" customHeight="true" hidden="false" ht="12.75" outlineLevel="0" r="26">
      <c r="A26" s="61"/>
      <c r="B26" s="61"/>
      <c r="C26" s="28"/>
      <c r="D26" s="59" t="s">
        <v>39</v>
      </c>
      <c r="E26" s="63" t="n">
        <f aca="false">IF(C17&gt;0,IF(E24&gt;0,IF(E25&lt;&gt;'Blad2 '!A10,IF(E25&lt;=E19,E19-E25,""),""),""),"")</f>
        <v>18.5</v>
      </c>
      <c r="F26" s="18" t="s">
        <v>40</v>
      </c>
      <c r="G26" s="17"/>
      <c r="H26" s="17"/>
      <c r="I26" s="54"/>
      <c r="J26" s="54"/>
      <c r="L26" s="65"/>
    </row>
    <row collapsed="false" customFormat="false" customHeight="true" hidden="false" ht="12.75" outlineLevel="0" r="27">
      <c r="A27" s="61"/>
      <c r="B27" s="61"/>
      <c r="C27" s="28"/>
      <c r="D27" s="59" t="s">
        <v>33</v>
      </c>
      <c r="E27" s="63" t="n">
        <f aca="false">IF(C17&gt;0,IF(E24&gt;0,IF(E25&gt;0,J24-I25,""),""),"")</f>
        <v>-265</v>
      </c>
      <c r="F27" s="17" t="s">
        <v>34</v>
      </c>
      <c r="G27" s="23"/>
      <c r="H27" s="17"/>
      <c r="I27" s="54"/>
      <c r="J27" s="54"/>
    </row>
    <row collapsed="false" customFormat="false" customHeight="true" hidden="false" ht="12.75" outlineLevel="0" r="28">
      <c r="A28" s="61" t="s">
        <v>41</v>
      </c>
      <c r="B28" s="61"/>
      <c r="C28" s="28"/>
      <c r="D28" s="59" t="s">
        <v>36</v>
      </c>
      <c r="E28" s="68"/>
      <c r="F28" s="28" t="s">
        <v>22</v>
      </c>
      <c r="G28" s="69" t="str">
        <f aca="false">IF(E28&lt;&gt;'Blad2 '!A$10,IF(E$25&lt;&gt;'Blad2 '!A$10,IF(E28&lt;=E19,IF(E28&lt;=E$25,"",'Blad2 '!E$9),'Blad2 '!E9),'Blad2 '!H15),"")</f>
        <v/>
      </c>
      <c r="H28" s="70"/>
      <c r="I28" s="48" t="str">
        <f aca="false">IF(C$17&gt;0,IF(E28&gt;0,IF(E28&gt;E$18,J$18+(VLOOKUP(E$17,Blad3!A$6:I$245,8)*(E28-E$18)),IF(E28&gt;E$19,VLOOKUP(E28,Blad3!C$6:G$245,5),VLOOKUP(E28,Blad3!B$6:F$245,5))),""),"")</f>
        <v/>
      </c>
      <c r="J28" s="54"/>
    </row>
    <row collapsed="false" customFormat="false" customHeight="true" hidden="false" ht="12.75" outlineLevel="0" r="29">
      <c r="A29" s="61"/>
      <c r="B29" s="61"/>
      <c r="C29" s="28"/>
      <c r="D29" s="59" t="s">
        <v>37</v>
      </c>
      <c r="E29" s="71"/>
      <c r="F29" s="28" t="s">
        <v>22</v>
      </c>
      <c r="G29" s="69" t="str">
        <f aca="false">IF(E29&lt;&gt;'Blad2 '!A$10,IF(E$25&lt;&gt;'Blad2 '!A$10,IF(E28&lt;&gt;'Blad2 '!A10,IF(E29&lt;=E$28,"",'Blad2 '!E$9),'Blad2 '!E11),""),"")</f>
        <v/>
      </c>
      <c r="H29" s="28"/>
      <c r="I29" s="66" t="str">
        <f aca="false">IF(C$17&gt;0,IF(E29&gt;0,IF(E29&gt;E$18,J$18+(VLOOKUP(E$17,Blad3!A$6:I$245,8)*(E29-E$18)),IF(E29&gt;E$19,VLOOKUP(E29,Blad3!C$6:G$245,5),VLOOKUP(E29,Blad3!B$6:F$245,5))),""),"")</f>
        <v/>
      </c>
      <c r="J29" s="54"/>
    </row>
    <row collapsed="false" customFormat="false" customHeight="true" hidden="false" ht="12.75" outlineLevel="0" r="30">
      <c r="A30" s="61"/>
      <c r="B30" s="61"/>
      <c r="C30" s="28"/>
      <c r="D30" s="72" t="s">
        <v>39</v>
      </c>
      <c r="E30" s="73" t="str">
        <f aca="false">IF(C14&lt;&gt;'Blad2 '!A10,IF(C17&lt;&gt;'Blad2 '!A10,IF(E28&lt;&gt;'Blad2 '!A10,IF(E29&lt;&gt;'Blad2 '!A10,IF(E29&lt;=E28,E28-E29,""),""),""),""),"")</f>
        <v/>
      </c>
      <c r="F30" s="74" t="s">
        <v>40</v>
      </c>
      <c r="G30" s="74"/>
      <c r="H30" s="28"/>
      <c r="I30" s="54"/>
      <c r="J30" s="54"/>
    </row>
    <row collapsed="false" customFormat="false" customHeight="true" hidden="false" ht="12.75" outlineLevel="0" r="31">
      <c r="A31" s="61"/>
      <c r="B31" s="61"/>
      <c r="C31" s="28"/>
      <c r="D31" s="72" t="s">
        <v>33</v>
      </c>
      <c r="E31" s="75" t="str">
        <f aca="false">IF(C14&lt;&gt;'Blad2 '!A10,IF(C17&lt;&gt;'Blad2 '!A10,IF(E28&lt;&gt;'Blad2 '!A10,IF(E29&lt;&gt;'Blad2 '!A10,IF(E29&lt;=E28,I28-I29,""),""),""),""),"")</f>
        <v/>
      </c>
      <c r="F31" s="28" t="s">
        <v>34</v>
      </c>
      <c r="G31" s="74"/>
      <c r="H31" s="28"/>
      <c r="I31" s="54"/>
      <c r="J31" s="54"/>
    </row>
    <row collapsed="false" customFormat="false" customHeight="true" hidden="false" ht="12.75" outlineLevel="0" r="32">
      <c r="A32" s="34" t="s">
        <v>42</v>
      </c>
      <c r="B32" s="34"/>
      <c r="C32" s="34"/>
      <c r="D32" s="59" t="s">
        <v>43</v>
      </c>
      <c r="E32" s="76"/>
      <c r="F32" s="17" t="s">
        <v>22</v>
      </c>
      <c r="G32" s="60" t="str">
        <f aca="false">IF(E32&lt;&gt;'Blad2 '!A10,IF(E25&lt;&gt;'Blad2 '!A10,IF(E32&gt;E19,'Blad2 '!E9,IF(E32&gt;E25,'Blad2 '!$E$9,IF(E28&lt;&gt;'Blad2 '!A10,IF(E32&lt;=E28,IF(E29&lt;&gt;'Blad2 '!A10,IF(E32&lt;=E29,"",'Blad2 '!E9),'Blad2 '!H16),'Blad2 '!E9),""))),'Blad2 '!H15),"")</f>
        <v/>
      </c>
      <c r="H32" s="17"/>
      <c r="I32" s="48" t="str">
        <f aca="false">IF(C17&gt;0,IF(E32&gt;0,IF(E32&gt;E19,VLOOKUP(E32,Blad3!C6:G245,5),VLOOKUP(E32,Blad3!B6:F245,5)),""),"")</f>
        <v/>
      </c>
      <c r="J32" s="54"/>
    </row>
    <row collapsed="false" customFormat="false" customHeight="true" hidden="false" ht="12.75" outlineLevel="0" r="33">
      <c r="A33" s="61" t="s">
        <v>44</v>
      </c>
      <c r="B33" s="61"/>
      <c r="C33" s="28"/>
      <c r="D33" s="59" t="s">
        <v>45</v>
      </c>
      <c r="E33" s="32"/>
      <c r="F33" s="17" t="s">
        <v>22</v>
      </c>
      <c r="G33" s="60" t="str">
        <f aca="false">IF(E33&lt;&gt;'Blad2 '!A10,IF(E32&lt;&gt;'Blad2 '!A10,IF(E25&lt;&gt;'Blad2 '!A10,IF(E33&gt;E25,'Blad2 '!$E$9,IF(E33&gt;E32,'Blad2 '!E9,"")),'Blad2 '!H15),'Blad2 '!E11),"")</f>
        <v/>
      </c>
      <c r="H33" s="17"/>
      <c r="I33" s="48" t="str">
        <f aca="false">IF(C17&gt;0,IF(E33&gt;0,IF(E33&gt;E19,VLOOKUP(E33,Blad3!C6:G245,5),VLOOKUP(E33,Blad3!B6:F245,5)),""),"")</f>
        <v/>
      </c>
      <c r="J33" s="54"/>
    </row>
    <row collapsed="false" customFormat="false" customHeight="true" hidden="false" ht="12.75" outlineLevel="0" r="34">
      <c r="A34" s="61"/>
      <c r="B34" s="61"/>
      <c r="C34" s="28"/>
      <c r="D34" s="59" t="s">
        <v>39</v>
      </c>
      <c r="E34" s="75" t="str">
        <f aca="false">IF(C17&gt;0,IF(E32&lt;&gt;'Blad2 '!A10,IF(E33&lt;&gt;'Blad2 '!A10,IF(E33&lt;=E32,E32-E33,""),""),""),"")</f>
        <v/>
      </c>
      <c r="F34" s="18" t="s">
        <v>40</v>
      </c>
      <c r="G34" s="17"/>
      <c r="H34" s="17"/>
      <c r="I34" s="77"/>
      <c r="J34" s="54"/>
    </row>
    <row collapsed="false" customFormat="false" customHeight="true" hidden="false" ht="12.75" outlineLevel="0" r="35">
      <c r="A35" s="28"/>
      <c r="B35" s="28"/>
      <c r="C35" s="28"/>
      <c r="D35" s="59" t="s">
        <v>46</v>
      </c>
      <c r="E35" s="75" t="str">
        <f aca="false">IF(C17&gt;0,IF(E32&lt;&gt;'Blad2 '!A10,IF(E33&lt;&gt;'Blad2 '!A10,IF(E33&lt;=E32,I32-I33,""),""),""),"")</f>
        <v/>
      </c>
      <c r="F35" s="17" t="s">
        <v>47</v>
      </c>
      <c r="G35" s="17"/>
      <c r="H35" s="17"/>
      <c r="I35" s="77"/>
      <c r="J35" s="54"/>
    </row>
    <row collapsed="false" customFormat="false" customHeight="true" hidden="false" ht="12.75" outlineLevel="0" r="36">
      <c r="A36" s="34" t="s">
        <v>48</v>
      </c>
      <c r="B36" s="34"/>
      <c r="C36" s="28"/>
      <c r="D36" s="59" t="s">
        <v>49</v>
      </c>
      <c r="E36" s="32" t="n">
        <v>-9.2</v>
      </c>
      <c r="F36" s="17" t="s">
        <v>50</v>
      </c>
      <c r="G36" s="60" t="str">
        <f aca="false">IF(E36&lt;&gt;'Blad2 '!A10,IF(E36&gt;E25,'Blad2 '!E9,IF(E32&lt;&gt;'Blad2 '!A10,IF(E36&gt;E32,'Blad2 '!E9,IF(E33&lt;&gt;'Blad2 '!A10,IF(E36&gt;E33,'Blad2 '!E9,""),"")),"")),"")</f>
        <v/>
      </c>
      <c r="H36" s="17"/>
      <c r="I36" s="48" t="str">
        <f aca="false">IF(C17&gt;0,IF(E36&gt;0,VLOOKUP(E36,Blad3!B6:F245,5),""),"")</f>
        <v/>
      </c>
      <c r="J36" s="54"/>
    </row>
    <row collapsed="false" customFormat="false" customHeight="true" hidden="false" ht="12.75" outlineLevel="0" r="37">
      <c r="A37" s="28"/>
      <c r="B37" s="28"/>
      <c r="C37" s="28"/>
      <c r="D37" s="59" t="s">
        <v>51</v>
      </c>
      <c r="E37" s="78" t="n">
        <f aca="false">IF(C17&gt;0,IF(E19&lt;&gt;'Blad2 '!A10,IF(E36&lt;&gt;'Blad2 '!A10,IF(E36&lt;=E19,E19-E36,""),""),""),"")</f>
        <v>74.2</v>
      </c>
      <c r="F37" s="18" t="s">
        <v>40</v>
      </c>
      <c r="G37" s="17"/>
      <c r="H37" s="17"/>
      <c r="I37" s="77"/>
      <c r="J37" s="54"/>
    </row>
    <row collapsed="false" customFormat="false" customHeight="true" hidden="false" ht="12.75" outlineLevel="0" r="38">
      <c r="A38" s="61" t="s">
        <v>52</v>
      </c>
      <c r="B38" s="61"/>
      <c r="C38" s="28"/>
      <c r="D38" s="59" t="s">
        <v>37</v>
      </c>
      <c r="E38" s="33" t="n">
        <v>-6.5</v>
      </c>
      <c r="F38" s="17" t="s">
        <v>22</v>
      </c>
      <c r="G38" s="60" t="str">
        <f aca="false">IF(E38&lt;&gt;'Blad2 '!A10,IF(E38&lt;E15,'Blad2 '!H9,""),"")</f>
        <v/>
      </c>
      <c r="H38" s="17"/>
      <c r="I38" s="54"/>
      <c r="J38" s="48" t="n">
        <f aca="false">IF($C$17&gt;0,IF($E$38&lt;&gt;'Blad2 '!$A$10,(VLOOKUP($E$14,Blad3!$A$6:$G$245,7)+(VLOOKUP($E$14,Blad3!$A$6:$H$245,8)*($E$38-$E$15))),""),"")</f>
        <v>395.444280316043</v>
      </c>
    </row>
    <row collapsed="false" customFormat="false" customHeight="true" hidden="false" ht="12.75" outlineLevel="0" r="39">
      <c r="A39" s="61"/>
      <c r="B39" s="61"/>
      <c r="C39" s="28"/>
      <c r="D39" s="59" t="s">
        <v>53</v>
      </c>
      <c r="E39" s="75" t="n">
        <f aca="false">IF(C17&gt;0,IF(E38&lt;&gt;'Blad2 '!A10,IF(E15&lt;&gt;'Blad2 '!A10,IF(E38&gt;=E15,E38-E15,""),""),""),"")</f>
        <v>5.5</v>
      </c>
      <c r="F39" s="18" t="s">
        <v>40</v>
      </c>
      <c r="G39" s="17"/>
      <c r="H39" s="17"/>
      <c r="I39" s="54"/>
      <c r="J39" s="77"/>
    </row>
    <row collapsed="false" customFormat="false" customHeight="true" hidden="false" ht="12.75" outlineLevel="0" r="40">
      <c r="A40" s="61"/>
      <c r="B40" s="61"/>
      <c r="C40" s="28"/>
      <c r="D40" s="59" t="s">
        <v>54</v>
      </c>
      <c r="E40" s="79" t="e">
        <f aca="false">IF(C17&gt;0,IF(E38&lt;&gt;'Blad2 '!A10,IF(E36&lt;&gt;'Blad2 '!A10,J38-I36,""),""),"")</f>
        <v>#VALUE!</v>
      </c>
      <c r="F40" s="17" t="s">
        <v>34</v>
      </c>
      <c r="G40" s="23"/>
      <c r="H40" s="17"/>
      <c r="I40" s="54"/>
      <c r="J40" s="54"/>
    </row>
    <row collapsed="false" customFormat="false" customHeight="true" hidden="false" ht="12.75" outlineLevel="0" r="41">
      <c r="A41" s="61" t="s">
        <v>44</v>
      </c>
      <c r="B41" s="61"/>
      <c r="C41" s="34" t="s">
        <v>55</v>
      </c>
      <c r="D41" s="59" t="s">
        <v>56</v>
      </c>
      <c r="E41" s="32"/>
      <c r="F41" s="17" t="s">
        <v>22</v>
      </c>
      <c r="G41" s="60" t="str">
        <f aca="false">IF(E41&lt;&gt;'Blad2 '!A10,IF(E41&lt;E15,'Blad2 '!$H$9,IF(E41&lt;E38,'Blad2 '!$H$9,"")),"")</f>
        <v/>
      </c>
      <c r="H41" s="17"/>
      <c r="I41" s="54"/>
      <c r="J41" s="48" t="str">
        <f aca="false">IF(C17&gt;0,IF(E41&lt;&gt;'Blad2 '!A10,(VLOOKUP(E14,Blad3!A6:G245,7)+(VLOOKUP(E14,Blad3!A6:H245,8)*(E41-E15))),""),"")</f>
        <v/>
      </c>
    </row>
    <row collapsed="false" customFormat="false" customHeight="true" hidden="false" ht="12.75" outlineLevel="0" r="42">
      <c r="A42" s="61"/>
      <c r="B42" s="61"/>
      <c r="C42" s="28"/>
      <c r="D42" s="59" t="s">
        <v>45</v>
      </c>
      <c r="E42" s="32"/>
      <c r="F42" s="17" t="s">
        <v>22</v>
      </c>
      <c r="G42" s="60" t="str">
        <f aca="false">IF(E42&lt;&gt;'Blad2 '!A10,IF(E42&lt;E38,'Blad2 '!$H$9,IF(E42&lt;E41,'Blad2 '!$H$9,IF(E41='Blad2 '!A10,'Blad2 '!E11,""))),"")</f>
        <v/>
      </c>
      <c r="H42" s="17"/>
      <c r="I42" s="54"/>
      <c r="J42" s="48" t="str">
        <f aca="false">IF(C17&gt;0,IF(E42&lt;&gt;'Blad2 '!A10,(VLOOKUP(E14,Blad3!A6:G245,7)+(VLOOKUP(E14,Blad3!A6:H245,8)*(E42-E15))),""),"")</f>
        <v/>
      </c>
    </row>
    <row collapsed="false" customFormat="false" customHeight="true" hidden="false" ht="12.75" outlineLevel="0" r="43">
      <c r="A43" s="61"/>
      <c r="B43" s="61"/>
      <c r="C43" s="28"/>
      <c r="D43" s="59" t="s">
        <v>57</v>
      </c>
      <c r="E43" s="35" t="str">
        <f aca="false">IF(C17&gt;0,IF(E42&lt;&gt;'Blad2 '!A10,IF(E41&lt;&gt;'Blad2 '!A10,IF(E42&gt;=E41,E42-E41,""),""),""),"")</f>
        <v/>
      </c>
      <c r="F43" s="18" t="s">
        <v>40</v>
      </c>
      <c r="G43" s="17"/>
      <c r="H43" s="17"/>
      <c r="I43" s="54"/>
      <c r="J43" s="77"/>
    </row>
    <row collapsed="false" customFormat="false" customHeight="true" hidden="false" ht="12.75" outlineLevel="0" r="44">
      <c r="A44" s="61"/>
      <c r="B44" s="61"/>
      <c r="C44" s="28"/>
      <c r="D44" s="59" t="s">
        <v>54</v>
      </c>
      <c r="E44" s="80" t="str">
        <f aca="false">IF(C17&gt;0,IF(E42&lt;&gt;'Blad2 '!A10,IF(E41&lt;&gt;'Blad2 '!A10,IF(E42&gt;=E41,J42-J41,""),""),""),"")</f>
        <v/>
      </c>
      <c r="F44" s="17" t="s">
        <v>58</v>
      </c>
      <c r="G44" s="17"/>
      <c r="H44" s="17"/>
      <c r="I44" s="54"/>
      <c r="J44" s="77"/>
    </row>
    <row collapsed="false" customFormat="false" customHeight="true" hidden="false" ht="12.75" outlineLevel="0" r="45">
      <c r="A45" s="34" t="s">
        <v>27</v>
      </c>
      <c r="B45" s="34"/>
      <c r="C45" s="28"/>
      <c r="D45" s="59" t="s">
        <v>59</v>
      </c>
      <c r="E45" s="33" t="n">
        <v>-6.5</v>
      </c>
      <c r="F45" s="17" t="s">
        <v>60</v>
      </c>
      <c r="G45" s="60" t="str">
        <f aca="false">IF(E45&lt;&gt;'Blad2 '!A10,IF(E45&lt;E15,'Blad2 '!$H$9,IF(E45&lt;E38,'Blad2 '!H9,IF(E42&lt;&gt;'Blad2 '!A10,IF(E45&lt;E42,'Blad2 '!$H$9,""),IF(E41&lt;&gt;'Blad2 '!A10,IF(E45&lt;E41,'Blad2 '!H9,""),"")))),"")</f>
        <v/>
      </c>
      <c r="H45" s="17"/>
      <c r="I45" s="54"/>
      <c r="J45" s="48" t="n">
        <f aca="false">IF(C17&gt;0,IF(E45&lt;&gt;'Blad2 '!A10,(VLOOKUP(E14,Blad3!A6:G245,7)+VLOOKUP(E14,Blad3!A6:H245,8)*(E45-E15)),""),"")</f>
        <v>395.444280316043</v>
      </c>
    </row>
    <row collapsed="false" customFormat="false" customHeight="true" hidden="false" ht="12.75" outlineLevel="0" r="46">
      <c r="A46" s="28"/>
      <c r="B46" s="28"/>
      <c r="C46" s="28"/>
      <c r="D46" s="59" t="s">
        <v>61</v>
      </c>
      <c r="E46" s="63" t="n">
        <f aca="false">IF(E45&lt;&gt;'Blad2 '!A10,IF(C17&gt;0,IF(E45&gt;=E38,E45-E15,""),""),"")</f>
        <v>5.5</v>
      </c>
      <c r="F46" s="18" t="s">
        <v>40</v>
      </c>
      <c r="G46" s="17"/>
      <c r="H46" s="17"/>
      <c r="I46" s="54"/>
      <c r="J46" s="17"/>
    </row>
    <row collapsed="false" customFormat="false" customHeight="true" hidden="false" ht="12.75" outlineLevel="0" r="47">
      <c r="A47" s="17"/>
      <c r="B47" s="17"/>
      <c r="C47" s="17"/>
      <c r="D47" s="31" t="s">
        <v>62</v>
      </c>
      <c r="E47" s="81" t="n">
        <f aca="false">IF(C10&gt;0,IF(E45&lt;&gt;'Blad2 '!A10,E13/(J20-J45)*'Blad2 '!F42,""),"")</f>
        <v>-0.007270820400453</v>
      </c>
      <c r="F47" s="17" t="s">
        <v>63</v>
      </c>
      <c r="G47" s="17"/>
      <c r="H47" s="17"/>
      <c r="I47" s="17"/>
      <c r="J47" s="17"/>
    </row>
    <row collapsed="false" customFormat="false" customHeight="true" hidden="false" ht="12.75" outlineLevel="0" r="48">
      <c r="A48" s="18" t="s">
        <v>64</v>
      </c>
      <c r="B48" s="17"/>
      <c r="C48" s="16"/>
      <c r="D48" s="31"/>
      <c r="E48" s="82" t="n">
        <v>0.15</v>
      </c>
      <c r="F48" s="17" t="s">
        <v>65</v>
      </c>
      <c r="G48" s="17"/>
      <c r="H48" s="17"/>
      <c r="I48" s="17"/>
      <c r="J48" s="17"/>
    </row>
    <row collapsed="false" customFormat="false" customHeight="true" hidden="false" ht="12.75" outlineLevel="0" r="49">
      <c r="A49" s="28"/>
      <c r="B49" s="28"/>
      <c r="C49" s="28"/>
      <c r="D49" s="83"/>
      <c r="E49" s="84"/>
      <c r="F49" s="17"/>
      <c r="G49" s="36" t="s">
        <v>66</v>
      </c>
      <c r="H49" s="36"/>
      <c r="I49" s="85" t="n">
        <f aca="false">E46</f>
        <v>5.5</v>
      </c>
      <c r="K49" s="86"/>
    </row>
    <row collapsed="false" customFormat="false" customHeight="true" hidden="false" ht="12.75" outlineLevel="0" r="50">
      <c r="A50" s="28"/>
      <c r="B50" s="28"/>
      <c r="C50" s="28"/>
      <c r="D50" s="83" t="s">
        <v>67</v>
      </c>
      <c r="E50" s="87" t="n">
        <f aca="false">IF(E13&lt;&gt;'Blad2 '!A10,(E13)+E48,"")</f>
        <v>3.02520434056434</v>
      </c>
      <c r="F50" s="17" t="s">
        <v>65</v>
      </c>
      <c r="G50" s="36" t="s">
        <v>68</v>
      </c>
      <c r="H50" s="36"/>
      <c r="I50" s="85" t="n">
        <f aca="false">E37</f>
        <v>74.2</v>
      </c>
    </row>
    <row collapsed="false" customFormat="false" customHeight="true" hidden="false" ht="12.75" outlineLevel="0" r="51">
      <c r="A51" s="28"/>
      <c r="B51" s="28"/>
      <c r="C51" s="28"/>
      <c r="D51" s="34" t="s">
        <v>69</v>
      </c>
      <c r="E51" s="88" t="str">
        <f aca="false">IF(C17&gt;0,IF(E23&lt;&gt;'Blad2 '!A10,IF(E45&lt;&gt;'Blad2 '!A10,IF(E47&lt;&gt;'Blad2 '!A10,E23*E47,""),""),""),"")</f>
        <v/>
      </c>
      <c r="F51" s="17" t="s">
        <v>65</v>
      </c>
      <c r="G51" s="28" t="s">
        <v>70</v>
      </c>
      <c r="H51" s="89" t="e">
        <f aca="false">IF(C17&gt;0,IF(E20&lt;&gt;'Blad2 '!A10,IF(E36&lt;&gt;'Blad2 '!A10,IF(E45&lt;&gt;'Blad2 '!A10,(J20-I36)/(J20-J45),""),""),""),"")</f>
        <v>#VALUE!</v>
      </c>
      <c r="I51" s="34" t="s">
        <v>71</v>
      </c>
      <c r="J51" s="90" t="n">
        <f aca="false">IF(E54&lt;&gt;'Blad2 '!A10,E54/E50,"")</f>
        <v>0.636904879542985</v>
      </c>
    </row>
    <row collapsed="false" customFormat="false" customHeight="true" hidden="false" ht="12.75" outlineLevel="0" r="52">
      <c r="A52" s="28"/>
      <c r="B52" s="28"/>
      <c r="C52" s="28"/>
      <c r="D52" s="34" t="s">
        <v>72</v>
      </c>
      <c r="E52" s="87" t="str">
        <f aca="false">IF(C17&gt;0,IF(E27&gt;0,IF(E45&lt;&gt;'Blad2 '!A10,IF(E47&gt;0,IF(E47&lt;&gt;'Blad2 '!A10,E27*E47,""),""),""),""),"")</f>
        <v/>
      </c>
      <c r="F52" s="52" t="s">
        <v>65</v>
      </c>
      <c r="G52" s="28" t="s">
        <v>73</v>
      </c>
      <c r="H52" s="89" t="e">
        <f aca="false">IF(C17&gt;0,IF(E45&lt;&gt;'Blad2 '!A10,IF(E36&lt;&gt;'Blad2 '!A10,IF(E20&lt;&gt;'Blad2 '!A10,(J45-I36)/(J20-J45),""),""),""),"")</f>
        <v>#VALUE!</v>
      </c>
      <c r="I52" s="91"/>
      <c r="J52" s="17"/>
    </row>
    <row collapsed="false" customFormat="false" customHeight="true" hidden="false" ht="12.75" outlineLevel="0" r="53">
      <c r="A53" s="28"/>
      <c r="B53" s="28"/>
      <c r="C53" s="28"/>
      <c r="D53" s="34" t="s">
        <v>74</v>
      </c>
      <c r="E53" s="92" t="str">
        <f aca="false">IF(E47&lt;&gt;'Blad2 '!A10,IF(E28&lt;&gt;'Blad2 '!A10,IF(E29&lt;&gt;'Blad2 '!A10,E31*E47,""),""),"")</f>
        <v/>
      </c>
      <c r="F53" s="17" t="s">
        <v>65</v>
      </c>
      <c r="G53" s="28" t="s">
        <v>75</v>
      </c>
      <c r="H53" s="28"/>
      <c r="I53" s="55" t="n">
        <f aca="false">IF(E45&lt;&gt;'Blad2 '!A10,IF(C14&lt;&gt;'Blad2 '!A10,IF(C17&lt;&gt;'Blad2 '!A10,'Blad2 '!G38,""),""),"")</f>
        <v>80.9545454545454</v>
      </c>
      <c r="J53" s="17"/>
    </row>
    <row collapsed="false" customFormat="false" customHeight="true" hidden="false" ht="12.75" outlineLevel="0" r="54">
      <c r="A54" s="28"/>
      <c r="B54" s="28"/>
      <c r="C54" s="28"/>
      <c r="D54" s="83" t="s">
        <v>76</v>
      </c>
      <c r="E54" s="87" t="n">
        <f aca="false">IF(C17&gt;0,IF(E20&gt;0,IF(E25&lt;&gt;'Blad2 '!A10,IF(E45&lt;&gt;'Blad2 '!A10,IF(E47&lt;&gt;'Blad2 '!A10,'Blad2 '!A20,""),""),""),""),"")</f>
        <v>1.92676740612004</v>
      </c>
      <c r="F54" s="17" t="s">
        <v>65</v>
      </c>
      <c r="G54" s="28" t="s">
        <v>77</v>
      </c>
      <c r="H54" s="93"/>
      <c r="I54" s="90" t="n">
        <f aca="false">IF(E47&lt;&gt;'Blad2 '!A10,IF(C14&lt;&gt;'Blad2 '!A10,IF(C17&lt;&gt;'Blad2 '!A10,'Blad2 '!F42,""),""),"")</f>
        <v>1</v>
      </c>
      <c r="J54" s="17"/>
    </row>
    <row collapsed="false" customFormat="false" customHeight="true" hidden="false" ht="12.75" outlineLevel="0" r="55">
      <c r="A55" s="28"/>
      <c r="B55" s="28"/>
      <c r="C55" s="28"/>
      <c r="D55" s="34" t="s">
        <v>78</v>
      </c>
      <c r="E55" s="94" t="e">
        <f aca="false">IF(E47&lt;&gt;'Blad2 '!A10,E40*E47,"")</f>
        <v>#VALUE!</v>
      </c>
      <c r="F55" s="17" t="s">
        <v>65</v>
      </c>
      <c r="G55" s="51" t="s">
        <v>79</v>
      </c>
      <c r="H55" s="51"/>
      <c r="I55" s="51"/>
      <c r="J55" s="28"/>
    </row>
    <row collapsed="false" customFormat="false" customHeight="true" hidden="false" ht="12.75" outlineLevel="0" r="56">
      <c r="A56" s="28"/>
      <c r="B56" s="28"/>
      <c r="C56" s="28"/>
      <c r="D56" s="34"/>
      <c r="E56" s="94"/>
      <c r="F56" s="17"/>
      <c r="G56" s="28"/>
      <c r="H56" s="28"/>
      <c r="I56" s="28"/>
      <c r="J56" s="28"/>
    </row>
    <row collapsed="false" customFormat="false" customHeight="true" hidden="false" ht="12.75" outlineLevel="0" r="57">
      <c r="A57" s="28"/>
      <c r="B57" s="28"/>
      <c r="C57" s="28"/>
      <c r="D57" s="95" t="s">
        <v>80</v>
      </c>
      <c r="E57" s="96" t="s">
        <v>35</v>
      </c>
      <c r="F57" s="97" t="s">
        <v>41</v>
      </c>
      <c r="G57" s="98"/>
      <c r="H57" s="36"/>
      <c r="I57" s="98" t="s">
        <v>52</v>
      </c>
      <c r="J57" s="28"/>
    </row>
    <row collapsed="false" customFormat="false" customHeight="true" hidden="false" ht="12.75" outlineLevel="0" r="58">
      <c r="B58" s="28"/>
      <c r="C58" s="34" t="s">
        <v>81</v>
      </c>
      <c r="D58" s="99"/>
      <c r="E58" s="100" t="s">
        <v>82</v>
      </c>
      <c r="F58" s="101"/>
      <c r="G58" s="42"/>
      <c r="H58" s="102" t="s">
        <v>83</v>
      </c>
      <c r="I58" s="101" t="s">
        <v>84</v>
      </c>
      <c r="J58" s="28"/>
    </row>
    <row collapsed="false" customFormat="false" customHeight="true" hidden="false" ht="12.75" outlineLevel="0" r="59">
      <c r="B59" s="28"/>
      <c r="C59" s="34" t="s">
        <v>85</v>
      </c>
      <c r="D59" s="103"/>
      <c r="E59" s="104" t="n">
        <v>4.18</v>
      </c>
      <c r="F59" s="105"/>
      <c r="G59" s="42"/>
      <c r="H59" s="102" t="s">
        <v>86</v>
      </c>
      <c r="I59" s="105" t="n">
        <v>3.8</v>
      </c>
      <c r="J59" s="28"/>
    </row>
    <row collapsed="false" customFormat="false" customHeight="true" hidden="false" ht="12.75" outlineLevel="0" r="60">
      <c r="B60" s="28"/>
      <c r="C60" s="34" t="s">
        <v>87</v>
      </c>
      <c r="D60" s="106"/>
      <c r="E60" s="33" t="n">
        <v>44.2</v>
      </c>
      <c r="F60" s="107"/>
      <c r="G60" s="108" t="s">
        <v>88</v>
      </c>
      <c r="H60" s="102" t="s">
        <v>89</v>
      </c>
      <c r="I60" s="107" t="n">
        <v>0.75</v>
      </c>
      <c r="J60" s="28"/>
    </row>
    <row collapsed="false" customFormat="false" customHeight="true" hidden="false" ht="12.75" outlineLevel="0" r="61">
      <c r="B61" s="28"/>
      <c r="C61" s="34" t="s">
        <v>90</v>
      </c>
      <c r="D61" s="106"/>
      <c r="E61" s="33" t="n">
        <v>49.2</v>
      </c>
      <c r="F61" s="107"/>
      <c r="G61" s="108" t="s">
        <v>91</v>
      </c>
      <c r="H61" s="102" t="s">
        <v>92</v>
      </c>
      <c r="I61" s="107" t="n">
        <v>-0.3</v>
      </c>
      <c r="J61" s="28"/>
    </row>
    <row collapsed="false" customFormat="false" customHeight="true" hidden="false" ht="12.75" outlineLevel="0" r="62">
      <c r="B62" s="28"/>
      <c r="C62" s="34" t="s">
        <v>93</v>
      </c>
      <c r="D62" s="109"/>
      <c r="E62" s="110"/>
      <c r="F62" s="111"/>
      <c r="G62" s="108" t="s">
        <v>94</v>
      </c>
      <c r="H62" s="102" t="s">
        <v>95</v>
      </c>
      <c r="I62" s="111"/>
      <c r="J62" s="28"/>
    </row>
    <row collapsed="false" customFormat="false" customHeight="true" hidden="false" ht="12.75" outlineLevel="0" r="63">
      <c r="B63" s="28"/>
      <c r="C63" s="34" t="s">
        <v>96</v>
      </c>
      <c r="D63" s="112" t="str">
        <f aca="false">IF($D$59&lt;&gt;'Blad2 '!$A$10,IF($D$60&lt;&gt;'Blad2 '!$A$10,IF($D$61&lt;&gt;'Blad2 '!$A$10,IF($D$62&lt;&gt;'Blad2 '!$A$10,SUM($D$59*$D$62*($D$61-$D$60)/60),""),""),""),"")</f>
        <v/>
      </c>
      <c r="E63" s="112" t="str">
        <f aca="false">IF($E$59&lt;&gt;'Blad2 '!$A$10,IF($E$60&lt;&gt;'Blad2 '!$A$10,IF($E$61&lt;&gt;'Blad2 '!$A$10,IF($E$62&lt;&gt;'Blad2 '!$A$10,SUM($E$59*$E$62*($E$61-$E$60)/60),""),""),""),"")</f>
        <v/>
      </c>
      <c r="F63" s="113" t="str">
        <f aca="false">IF($F$59&lt;&gt;'Blad2 '!$A$10,IF($F$60&lt;&gt;'Blad2 '!$A$10,IF($F$61&lt;&gt;'Blad2 '!$A$10,IF($F$62&lt;&gt;'Blad2 '!$A$10,SUM($F$59*$F$62*($F$61-$F$60)/60),""),""),""),"")</f>
        <v/>
      </c>
      <c r="G63" s="114" t="str">
        <f aca="false">IF(OR(D63&lt;&gt;'Blad2 '!A10,E63&lt;&gt;'Blad2 '!A10,F63&lt;&gt;'Blad2 '!A10),SUM(D63,E63,F63),'Blad2 '!A10)</f>
        <v/>
      </c>
      <c r="H63" s="42" t="s">
        <v>97</v>
      </c>
      <c r="I63" s="113" t="str">
        <f aca="false">IF($I$59&lt;&gt;'Blad2 '!$A$10,IF($I$60&lt;&gt;'Blad2 '!$A$10,IF($I$61&lt;&gt;'Blad2 '!$A$10,IF($I$62&lt;&gt;'Blad2 '!$A$10,SUM($I$59*$I$62*($I$60-$I$61)/60),""),""),""),"")</f>
        <v/>
      </c>
      <c r="J63" s="28"/>
    </row>
    <row collapsed="false" customFormat="false" customHeight="true" hidden="false" ht="12.2" outlineLevel="0" r="64"/>
  </sheetData>
  <mergeCells count="12">
    <mergeCell ref="A1:D6"/>
    <mergeCell ref="E7:F7"/>
    <mergeCell ref="I10:J10"/>
    <mergeCell ref="A21:B23"/>
    <mergeCell ref="A24:B27"/>
    <mergeCell ref="A28:B31"/>
    <mergeCell ref="A32:C32"/>
    <mergeCell ref="A33:B34"/>
    <mergeCell ref="A36:B36"/>
    <mergeCell ref="A38:B40"/>
    <mergeCell ref="A41:B44"/>
    <mergeCell ref="A45:B45"/>
  </mergeCells>
  <dataValidations count="3">
    <dataValidation allowBlank="true" operator="between" showDropDown="true" showErrorMessage="true" showInputMessage="true" sqref="C14" type="none">
      <formula1>0</formula1>
      <formula2>0</formula2>
    </dataValidation>
    <dataValidation allowBlank="false" operator="lessThanOrEqual" showDropDown="false" showErrorMessage="true" showInputMessage="true" sqref="G10" type="decimal">
      <formula1>1</formula1>
      <formula2>0</formula2>
    </dataValidation>
    <dataValidation allowBlank="true" operator="lessThanOrEqual" showDropDown="false" showErrorMessage="true" showInputMessage="true" sqref="G11" type="decimal">
      <formula1>1</formula1>
      <formula2>0</formula2>
    </dataValidation>
  </dataValidations>
  <printOptions headings="false" gridLines="false" gridLinesSet="true" horizontalCentered="false" verticalCentered="false"/>
  <pageMargins left="0.590277777777778" right="0.196527777777778" top="0.39375" bottom="0.393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I51" activeCellId="0" pane="topLeft" sqref="I51"/>
    </sheetView>
  </sheetViews>
  <sheetFormatPr defaultRowHeight="12.75"/>
  <cols>
    <col collapsed="false" hidden="false" max="1" min="1" style="0" width="8"/>
    <col collapsed="false" hidden="false" max="2" min="2" style="0" width="8.72959183673469"/>
    <col collapsed="false" hidden="false" max="3" min="3" style="0" width="11.8622448979592"/>
    <col collapsed="false" hidden="false" max="5" min="4" style="0" width="8.72959183673469"/>
    <col collapsed="false" hidden="false" max="6" min="6" style="0" width="10.2857142857143"/>
    <col collapsed="false" hidden="false" max="7" min="7" style="0" width="10.8520408163265"/>
    <col collapsed="false" hidden="false" max="9" min="8" style="0" width="8.72959183673469"/>
    <col collapsed="false" hidden="false" max="10" min="10" style="0" width="6.28061224489796"/>
    <col collapsed="false" hidden="false" max="1025" min="11" style="0" width="8.72959183673469"/>
  </cols>
  <sheetData>
    <row collapsed="false" customFormat="false" customHeight="false" hidden="false" ht="13.5" outlineLevel="0" r="1">
      <c r="A1" s="115"/>
      <c r="B1" s="115"/>
      <c r="C1" s="115"/>
      <c r="D1" s="115"/>
      <c r="E1" s="115"/>
      <c r="F1" s="115"/>
      <c r="G1" s="115"/>
      <c r="H1" s="115"/>
      <c r="I1" s="115"/>
    </row>
    <row collapsed="false" customFormat="false" customHeight="false" hidden="false" ht="14.25" outlineLevel="0" r="2">
      <c r="A2" s="115"/>
      <c r="B2" s="116" t="s">
        <v>98</v>
      </c>
      <c r="C2" s="116"/>
      <c r="D2" s="116" t="str">
        <f aca="false">Beräkningsblad!C8</f>
        <v>R134a</v>
      </c>
      <c r="E2" s="115"/>
      <c r="F2" s="115"/>
      <c r="G2" s="115"/>
      <c r="H2" s="115"/>
      <c r="I2" s="115"/>
    </row>
    <row collapsed="false" customFormat="false" customHeight="false" hidden="false" ht="14.25" outlineLevel="0" r="3">
      <c r="A3" s="115"/>
      <c r="B3" s="115"/>
      <c r="C3" s="115"/>
      <c r="D3" s="115"/>
      <c r="E3" s="117" t="s">
        <v>99</v>
      </c>
      <c r="F3" s="118" t="n">
        <f aca="false">Beräkningsblad!G3</f>
        <v>0</v>
      </c>
      <c r="G3" s="118"/>
      <c r="H3" s="118"/>
      <c r="I3" s="118"/>
    </row>
    <row collapsed="false" customFormat="false" customHeight="false" hidden="false" ht="14.25" outlineLevel="0" r="4">
      <c r="A4" s="115"/>
      <c r="B4" s="119" t="s">
        <v>100</v>
      </c>
      <c r="C4" s="120" t="n">
        <f aca="false">Beräkningsblad!G4</f>
        <v>0</v>
      </c>
      <c r="D4" s="120"/>
      <c r="E4" s="119" t="s">
        <v>101</v>
      </c>
      <c r="F4" s="121" t="n">
        <f aca="false">Beräkningsblad!G5</f>
        <v>0</v>
      </c>
      <c r="G4" s="121"/>
      <c r="H4" s="121"/>
      <c r="I4" s="121"/>
    </row>
    <row collapsed="false" customFormat="false" customHeight="false" hidden="false" ht="14.25" outlineLevel="0" r="5">
      <c r="A5" s="115"/>
      <c r="B5" s="115"/>
      <c r="C5" s="122" t="s">
        <v>5</v>
      </c>
      <c r="D5" s="122" t="s">
        <v>6</v>
      </c>
      <c r="E5" s="122" t="s">
        <v>7</v>
      </c>
      <c r="F5" s="115"/>
      <c r="G5" s="115"/>
      <c r="H5" s="115"/>
      <c r="I5" s="115"/>
    </row>
    <row collapsed="false" customFormat="false" customHeight="false" hidden="false" ht="14.25" outlineLevel="0" r="6">
      <c r="A6" s="115"/>
      <c r="B6" s="116" t="s">
        <v>102</v>
      </c>
      <c r="C6" s="117" t="n">
        <f aca="false">Beräkningsblad!C10</f>
        <v>400</v>
      </c>
      <c r="D6" s="117" t="n">
        <f aca="false">Beräkningsblad!D10</f>
        <v>400</v>
      </c>
      <c r="E6" s="117" t="n">
        <f aca="false">Beräkningsblad!E10</f>
        <v>400</v>
      </c>
      <c r="F6" s="116" t="s">
        <v>103</v>
      </c>
      <c r="G6" s="117" t="s">
        <v>104</v>
      </c>
      <c r="H6" s="117" t="n">
        <f aca="false">Beräkningsblad!G10</f>
        <v>1</v>
      </c>
      <c r="I6" s="115"/>
    </row>
    <row collapsed="false" customFormat="false" customHeight="false" hidden="false" ht="14.25" outlineLevel="0" r="7">
      <c r="A7" s="115"/>
      <c r="B7" s="115"/>
      <c r="C7" s="115"/>
      <c r="D7" s="115"/>
      <c r="E7" s="115"/>
      <c r="F7" s="115"/>
      <c r="G7" s="115"/>
      <c r="H7" s="115"/>
      <c r="I7" s="115"/>
    </row>
    <row collapsed="false" customFormat="false" customHeight="false" hidden="false" ht="14.25" outlineLevel="0" r="8">
      <c r="A8" s="115"/>
      <c r="B8" s="117" t="s">
        <v>105</v>
      </c>
      <c r="C8" s="117" t="n">
        <f aca="false">Beräkningsblad!C11</f>
        <v>4.15</v>
      </c>
      <c r="D8" s="117" t="n">
        <f aca="false">Beräkningsblad!D11</f>
        <v>4.15</v>
      </c>
      <c r="E8" s="117" t="n">
        <f aca="false">Beräkningsblad!E11</f>
        <v>4.15</v>
      </c>
      <c r="F8" s="116" t="s">
        <v>106</v>
      </c>
      <c r="G8" s="117" t="s">
        <v>107</v>
      </c>
      <c r="H8" s="123" t="n">
        <f aca="false">Beräkningsblad!I54</f>
        <v>1</v>
      </c>
      <c r="I8" s="115"/>
    </row>
    <row collapsed="false" customFormat="false" customHeight="false" hidden="false" ht="14.25" outlineLevel="0" r="9">
      <c r="A9" s="115"/>
      <c r="B9" s="115"/>
      <c r="C9" s="115"/>
      <c r="D9" s="115"/>
      <c r="E9" s="115"/>
      <c r="F9" s="115"/>
      <c r="G9" s="115"/>
      <c r="H9" s="115"/>
      <c r="I9" s="115"/>
    </row>
    <row collapsed="false" customFormat="false" customHeight="false" hidden="false" ht="14.25" outlineLevel="0" r="10">
      <c r="A10" s="115"/>
      <c r="B10" s="117" t="s">
        <v>108</v>
      </c>
      <c r="C10" s="117" t="n">
        <f aca="false">Beräkningsblad!C17</f>
        <v>19</v>
      </c>
      <c r="D10" s="116" t="s">
        <v>109</v>
      </c>
      <c r="E10" s="115"/>
      <c r="F10" s="116" t="s">
        <v>110</v>
      </c>
      <c r="G10" s="116"/>
      <c r="H10" s="117" t="n">
        <f aca="false">Beräkningsblad!E24</f>
        <v>106.5</v>
      </c>
      <c r="I10" s="116" t="s">
        <v>111</v>
      </c>
    </row>
    <row collapsed="false" customFormat="false" customHeight="false" hidden="false" ht="14.25" outlineLevel="0" r="11">
      <c r="A11" s="115"/>
      <c r="B11" s="115"/>
      <c r="C11" s="115"/>
      <c r="D11" s="115"/>
      <c r="E11" s="115"/>
      <c r="F11" s="115"/>
      <c r="G11" s="115"/>
      <c r="H11" s="115"/>
      <c r="I11" s="115"/>
    </row>
    <row collapsed="false" customFormat="false" customHeight="false" hidden="false" ht="14.25" outlineLevel="0" r="12">
      <c r="A12" s="115"/>
      <c r="B12" s="117" t="s">
        <v>112</v>
      </c>
      <c r="C12" s="117" t="n">
        <f aca="false">Beräkningsblad!C14</f>
        <v>0.9</v>
      </c>
      <c r="D12" s="116" t="s">
        <v>109</v>
      </c>
      <c r="E12" s="115"/>
      <c r="F12" s="116" t="s">
        <v>113</v>
      </c>
      <c r="G12" s="116"/>
      <c r="H12" s="117" t="n">
        <f aca="false">Beräkningsblad!E25</f>
        <v>46.5</v>
      </c>
      <c r="I12" s="116" t="s">
        <v>111</v>
      </c>
    </row>
    <row collapsed="false" customFormat="false" customHeight="false" hidden="false" ht="14.25" outlineLevel="0" r="13">
      <c r="A13" s="115"/>
      <c r="B13" s="115"/>
      <c r="C13" s="115"/>
      <c r="D13" s="115"/>
      <c r="E13" s="115"/>
      <c r="F13" s="115"/>
      <c r="G13" s="115"/>
      <c r="H13" s="115"/>
      <c r="I13" s="115"/>
    </row>
    <row collapsed="false" customFormat="false" customHeight="false" hidden="false" ht="14.25" outlineLevel="0" r="14">
      <c r="A14" s="115"/>
      <c r="B14" s="117" t="s">
        <v>114</v>
      </c>
      <c r="C14" s="117" t="n">
        <f aca="false">Beräkningsblad!E20</f>
        <v>106.5</v>
      </c>
      <c r="D14" s="116" t="s">
        <v>111</v>
      </c>
      <c r="E14" s="116"/>
      <c r="F14" s="116"/>
      <c r="G14" s="119" t="s">
        <v>115</v>
      </c>
      <c r="H14" s="117" t="n">
        <f aca="false">Beräkningsblad!E32</f>
        <v>0</v>
      </c>
      <c r="I14" s="116" t="s">
        <v>111</v>
      </c>
      <c r="K14" s="124"/>
    </row>
    <row collapsed="false" customFormat="false" customHeight="false" hidden="false" ht="14.25" outlineLevel="0" r="15">
      <c r="A15" s="115"/>
      <c r="B15" s="115"/>
      <c r="C15" s="115"/>
      <c r="D15" s="115"/>
      <c r="E15" s="115"/>
      <c r="F15" s="115"/>
      <c r="G15" s="115"/>
      <c r="H15" s="115"/>
      <c r="I15" s="115"/>
    </row>
    <row collapsed="false" customFormat="false" customHeight="false" hidden="false" ht="14.25" outlineLevel="0" r="16">
      <c r="A16" s="115"/>
      <c r="B16" s="117" t="s">
        <v>116</v>
      </c>
      <c r="C16" s="117" t="n">
        <f aca="false">Beräkningsblad!E45</f>
        <v>-6.5</v>
      </c>
      <c r="D16" s="116" t="s">
        <v>111</v>
      </c>
      <c r="E16" s="116"/>
      <c r="F16" s="116"/>
      <c r="G16" s="119" t="s">
        <v>117</v>
      </c>
      <c r="H16" s="117" t="n">
        <f aca="false">Beräkningsblad!E33</f>
        <v>0</v>
      </c>
      <c r="I16" s="116" t="s">
        <v>111</v>
      </c>
    </row>
    <row collapsed="false" customFormat="false" customHeight="false" hidden="false" ht="14.25" outlineLevel="0" r="17">
      <c r="A17" s="115"/>
      <c r="B17" s="115"/>
      <c r="C17" s="115"/>
      <c r="D17" s="115"/>
      <c r="E17" s="115"/>
      <c r="F17" s="115"/>
      <c r="G17" s="115"/>
      <c r="H17" s="115"/>
      <c r="I17" s="115"/>
    </row>
    <row collapsed="false" customFormat="false" customHeight="false" hidden="false" ht="14.25" outlineLevel="0" r="18">
      <c r="A18" s="116"/>
      <c r="B18" s="119" t="s">
        <v>118</v>
      </c>
      <c r="C18" s="117" t="n">
        <f aca="false">Beräkningsblad!E21</f>
        <v>0</v>
      </c>
      <c r="D18" s="116" t="s">
        <v>111</v>
      </c>
      <c r="E18" s="115"/>
      <c r="F18" s="116"/>
      <c r="G18" s="119" t="s">
        <v>119</v>
      </c>
      <c r="H18" s="117" t="n">
        <f aca="false">Beräkningsblad!E41</f>
        <v>0</v>
      </c>
      <c r="I18" s="116" t="s">
        <v>111</v>
      </c>
    </row>
    <row collapsed="false" customFormat="false" customHeight="false" hidden="false" ht="14.25" outlineLevel="0" r="19">
      <c r="A19" s="115"/>
      <c r="B19" s="125"/>
      <c r="C19" s="115"/>
      <c r="D19" s="115"/>
      <c r="E19" s="115"/>
      <c r="F19" s="115"/>
      <c r="G19" s="115"/>
      <c r="H19" s="115"/>
      <c r="I19" s="115"/>
    </row>
    <row collapsed="false" customFormat="false" customHeight="false" hidden="false" ht="14.25" outlineLevel="0" r="20">
      <c r="A20" s="116"/>
      <c r="B20" s="119" t="s">
        <v>120</v>
      </c>
      <c r="C20" s="117" t="n">
        <f aca="false">Beräkningsblad!E22</f>
        <v>0</v>
      </c>
      <c r="D20" s="116" t="s">
        <v>111</v>
      </c>
      <c r="E20" s="115"/>
      <c r="F20" s="116"/>
      <c r="G20" s="119" t="s">
        <v>121</v>
      </c>
      <c r="H20" s="117" t="n">
        <f aca="false">Beräkningsblad!E42</f>
        <v>0</v>
      </c>
      <c r="I20" s="116" t="s">
        <v>111</v>
      </c>
    </row>
    <row collapsed="false" customFormat="false" customHeight="false" hidden="false" ht="14.25" outlineLevel="0" r="21">
      <c r="A21" s="115"/>
      <c r="B21" s="115"/>
      <c r="C21" s="115"/>
      <c r="D21" s="115"/>
      <c r="E21" s="115"/>
      <c r="F21" s="115"/>
      <c r="G21" s="115"/>
      <c r="H21" s="115"/>
      <c r="I21" s="115"/>
    </row>
    <row collapsed="false" customFormat="false" customHeight="false" hidden="false" ht="14.25" outlineLevel="0" r="22">
      <c r="A22" s="116"/>
      <c r="B22" s="119" t="s">
        <v>122</v>
      </c>
      <c r="C22" s="117" t="n">
        <f aca="false">Beräkningsblad!E36</f>
        <v>-9.2</v>
      </c>
      <c r="D22" s="116" t="s">
        <v>111</v>
      </c>
      <c r="E22" s="115"/>
      <c r="F22" s="116" t="s">
        <v>123</v>
      </c>
      <c r="G22" s="116"/>
      <c r="H22" s="117" t="n">
        <f aca="false">Beräkningsblad!E38</f>
        <v>-6.5</v>
      </c>
      <c r="I22" s="116" t="s">
        <v>111</v>
      </c>
    </row>
    <row collapsed="false" customFormat="false" customHeight="false" hidden="false" ht="14.25" outlineLevel="0" r="23">
      <c r="A23" s="115"/>
      <c r="B23" s="115"/>
      <c r="C23" s="115"/>
      <c r="D23" s="115"/>
      <c r="E23" s="115"/>
      <c r="F23" s="115"/>
      <c r="G23" s="115"/>
      <c r="H23" s="115"/>
      <c r="I23" s="115"/>
    </row>
    <row collapsed="false" customFormat="false" customHeight="false" hidden="false" ht="14.25" outlineLevel="0" r="24">
      <c r="A24" s="36" t="s">
        <v>124</v>
      </c>
      <c r="B24" s="36"/>
      <c r="G24" s="36" t="s">
        <v>108</v>
      </c>
      <c r="H24" s="36" t="n">
        <f aca="false">Beräkningsblad!E18</f>
        <v>65</v>
      </c>
      <c r="I24" s="36" t="s">
        <v>111</v>
      </c>
    </row>
    <row collapsed="false" customFormat="false" customHeight="false" hidden="false" ht="14.25" outlineLevel="0" r="25">
      <c r="A25" s="36" t="n">
        <f aca="false">Beräkningsblad!E19</f>
        <v>65</v>
      </c>
      <c r="B25" s="36" t="s">
        <v>111</v>
      </c>
      <c r="G25" s="36" t="s">
        <v>125</v>
      </c>
      <c r="H25" s="36" t="n">
        <f aca="false">Beräkningsblad!E17</f>
        <v>20</v>
      </c>
      <c r="I25" s="36" t="s">
        <v>126</v>
      </c>
    </row>
    <row collapsed="false" customFormat="false" customHeight="false" hidden="false" ht="14.25" outlineLevel="0" r="26">
      <c r="A26" s="36" t="n">
        <f aca="false">Beräkningsblad!E17</f>
        <v>20</v>
      </c>
      <c r="B26" s="36" t="s">
        <v>126</v>
      </c>
      <c r="G26" s="36"/>
      <c r="H26" s="36" t="n">
        <f aca="false">Beräkningsblad!J18</f>
        <v>0</v>
      </c>
      <c r="I26" s="36" t="s">
        <v>127</v>
      </c>
      <c r="J26" s="36"/>
    </row>
    <row collapsed="false" customFormat="false" customHeight="false" hidden="false" ht="14.25" outlineLevel="0" r="27">
      <c r="A27" s="36" t="n">
        <f aca="false">Beräkningsblad!I19</f>
        <v>0</v>
      </c>
      <c r="B27" s="36" t="s">
        <v>127</v>
      </c>
      <c r="G27" s="36"/>
      <c r="H27" s="36"/>
    </row>
    <row collapsed="false" customFormat="false" customHeight="false" hidden="false" ht="14.25" outlineLevel="0" r="28">
      <c r="A28" s="36" t="s">
        <v>128</v>
      </c>
      <c r="B28" s="36"/>
      <c r="G28" s="126" t="s">
        <v>129</v>
      </c>
      <c r="H28" s="36" t="n">
        <f aca="false">Beräkningsblad!E20</f>
        <v>106.5</v>
      </c>
      <c r="I28" s="36" t="s">
        <v>111</v>
      </c>
    </row>
    <row collapsed="false" customFormat="false" customHeight="false" hidden="false" ht="14.25" outlineLevel="0" r="29">
      <c r="A29" s="36" t="n">
        <f aca="false">Beräkningsblad!E37</f>
        <v>74.2</v>
      </c>
      <c r="B29" s="36" t="s">
        <v>130</v>
      </c>
      <c r="G29" s="126"/>
      <c r="H29" s="36" t="n">
        <f aca="false">Beräkningsblad!J20</f>
        <v>0</v>
      </c>
      <c r="I29" s="36" t="s">
        <v>127</v>
      </c>
      <c r="J29" s="36"/>
    </row>
    <row collapsed="false" customFormat="false" customHeight="false" hidden="false" ht="14.25" outlineLevel="0" r="30">
      <c r="A30" s="36" t="n">
        <f aca="false">Beräkningsblad!E36</f>
        <v>-9.2</v>
      </c>
      <c r="B30" s="36" t="s">
        <v>111</v>
      </c>
      <c r="G30" s="36"/>
    </row>
    <row collapsed="false" customFormat="false" customHeight="false" hidden="false" ht="14.25" outlineLevel="0" r="31">
      <c r="A31" s="36" t="str">
        <f aca="false">Beräkningsblad!I36</f>
        <v/>
      </c>
      <c r="B31" s="36" t="s">
        <v>127</v>
      </c>
      <c r="G31" s="36" t="s">
        <v>131</v>
      </c>
      <c r="H31" s="127" t="n">
        <f aca="false">Beräkningsblad!E22</f>
        <v>0</v>
      </c>
      <c r="I31" s="126" t="s">
        <v>111</v>
      </c>
    </row>
    <row collapsed="false" customFormat="false" customHeight="false" hidden="false" ht="14.25" outlineLevel="0" r="32">
      <c r="A32" s="36" t="s">
        <v>132</v>
      </c>
      <c r="B32" s="36"/>
      <c r="G32" s="36" t="s">
        <v>133</v>
      </c>
      <c r="H32" s="127" t="n">
        <f aca="false">Beräkningsblad!E24</f>
        <v>106.5</v>
      </c>
      <c r="I32" s="126"/>
    </row>
    <row collapsed="false" customFormat="false" customHeight="false" hidden="false" ht="14.25" outlineLevel="0" r="33">
      <c r="A33" s="36" t="s">
        <v>134</v>
      </c>
      <c r="B33" s="36"/>
      <c r="G33" s="36"/>
    </row>
    <row collapsed="false" customFormat="false" customHeight="false" hidden="false" ht="14.25" outlineLevel="0" r="34">
      <c r="G34" s="127" t="s">
        <v>135</v>
      </c>
      <c r="H34" s="36" t="n">
        <f aca="false">Beräkningsblad!E45</f>
        <v>-6.5</v>
      </c>
      <c r="I34" s="36" t="s">
        <v>111</v>
      </c>
    </row>
    <row collapsed="false" customFormat="false" customHeight="false" hidden="false" ht="14.25" outlineLevel="0" r="35">
      <c r="A35" s="36"/>
      <c r="B35" s="36"/>
      <c r="G35" s="127"/>
      <c r="H35" s="36" t="n">
        <f aca="false">Beräkningsblad!J45</f>
        <v>395.444280316043</v>
      </c>
      <c r="I35" s="36" t="s">
        <v>127</v>
      </c>
    </row>
    <row collapsed="false" customFormat="false" customHeight="false" hidden="false" ht="14.25" outlineLevel="0" r="36">
      <c r="A36" s="36" t="s">
        <v>112</v>
      </c>
      <c r="B36" s="36"/>
      <c r="F36" s="36"/>
      <c r="G36" s="36" t="s">
        <v>136</v>
      </c>
      <c r="H36" s="36" t="n">
        <f aca="false">Beräkningsblad!E46</f>
        <v>5.5</v>
      </c>
      <c r="I36" s="36" t="s">
        <v>130</v>
      </c>
    </row>
    <row collapsed="false" customFormat="false" customHeight="false" hidden="false" ht="14.25" outlineLevel="0" r="37">
      <c r="A37" s="36" t="n">
        <f aca="false">Beräkningsblad!E14</f>
        <v>1.9</v>
      </c>
      <c r="B37" s="36" t="s">
        <v>126</v>
      </c>
      <c r="F37" s="36"/>
      <c r="G37" s="36" t="s">
        <v>137</v>
      </c>
      <c r="H37" s="36" t="n">
        <f aca="false">Beräkningsblad!E15</f>
        <v>-12</v>
      </c>
      <c r="I37" s="36" t="s">
        <v>111</v>
      </c>
    </row>
    <row collapsed="false" customFormat="false" customHeight="false" hidden="false" ht="14.25" outlineLevel="0" r="38">
      <c r="F38" s="36"/>
      <c r="G38" s="36" t="s">
        <v>125</v>
      </c>
      <c r="H38" s="36" t="n">
        <f aca="false">Beräkningsblad!J15</f>
        <v>390.4</v>
      </c>
      <c r="I38" s="36" t="s">
        <v>127</v>
      </c>
    </row>
    <row collapsed="false" customFormat="false" customHeight="false" hidden="false" ht="14.25" outlineLevel="0" r="39">
      <c r="B39" s="128"/>
      <c r="C39" s="98"/>
      <c r="D39" s="98"/>
      <c r="E39" s="98"/>
      <c r="F39" s="129"/>
      <c r="G39" s="36"/>
      <c r="H39" s="36"/>
      <c r="I39" s="36"/>
    </row>
    <row collapsed="false" customFormat="false" customHeight="false" hidden="false" ht="14.25" outlineLevel="0" r="40">
      <c r="A40" s="130" t="s">
        <v>138</v>
      </c>
      <c r="B40" s="131" t="n">
        <f aca="false">H29</f>
        <v>0</v>
      </c>
      <c r="C40" s="132" t="s">
        <v>139</v>
      </c>
      <c r="D40" s="132" t="str">
        <f aca="false">A31</f>
        <v/>
      </c>
      <c r="E40" s="133" t="s">
        <v>140</v>
      </c>
      <c r="F40" s="134" t="e">
        <f aca="false">(B40-D40)/(B41-D41)</f>
        <v>#VALUE!</v>
      </c>
      <c r="H40" s="135" t="s">
        <v>141</v>
      </c>
      <c r="I40" s="135"/>
    </row>
    <row collapsed="false" customFormat="false" customHeight="false" hidden="false" ht="14.25" outlineLevel="0" r="41">
      <c r="A41" s="130"/>
      <c r="B41" s="98" t="n">
        <f aca="false">H29</f>
        <v>0</v>
      </c>
      <c r="C41" s="98" t="s">
        <v>139</v>
      </c>
      <c r="D41" s="98" t="n">
        <f aca="false">H35</f>
        <v>395.444280316043</v>
      </c>
      <c r="E41" s="133"/>
      <c r="F41" s="134"/>
      <c r="H41" s="92" t="n">
        <f aca="false">Beräkningsblad!E50</f>
        <v>3.02520434056434</v>
      </c>
      <c r="I41" s="36" t="s">
        <v>142</v>
      </c>
    </row>
    <row collapsed="false" customFormat="false" customHeight="false" hidden="false" ht="14.25" outlineLevel="0" r="42">
      <c r="H42" s="36"/>
      <c r="I42" s="36"/>
    </row>
    <row collapsed="false" customFormat="false" customHeight="false" hidden="false" ht="14.25" outlineLevel="0" r="43">
      <c r="A43" s="130" t="s">
        <v>143</v>
      </c>
      <c r="B43" s="132" t="n">
        <f aca="false">H35</f>
        <v>395.444280316043</v>
      </c>
      <c r="C43" s="132" t="s">
        <v>139</v>
      </c>
      <c r="D43" s="132" t="str">
        <f aca="false">A31</f>
        <v/>
      </c>
      <c r="E43" s="133" t="s">
        <v>140</v>
      </c>
      <c r="F43" s="134" t="e">
        <f aca="false">(B43-D43)/(B44-D44)</f>
        <v>#VALUE!</v>
      </c>
      <c r="H43" s="135" t="s">
        <v>144</v>
      </c>
      <c r="I43" s="135"/>
    </row>
    <row collapsed="false" customFormat="false" customHeight="false" hidden="false" ht="14.25" outlineLevel="0" r="44">
      <c r="A44" s="130"/>
      <c r="B44" s="98" t="n">
        <f aca="false">H29</f>
        <v>0</v>
      </c>
      <c r="C44" s="98" t="s">
        <v>139</v>
      </c>
      <c r="D44" s="98" t="n">
        <f aca="false">H35</f>
        <v>395.444280316043</v>
      </c>
      <c r="E44" s="133"/>
      <c r="F44" s="134"/>
      <c r="H44" s="136" t="n">
        <f aca="false">Beräkningsblad!E54</f>
        <v>1.92676740612004</v>
      </c>
      <c r="I44" s="36" t="s">
        <v>142</v>
      </c>
    </row>
    <row collapsed="false" customFormat="false" customHeight="false" hidden="false" ht="13.5" outlineLevel="0" r="45">
      <c r="H45" s="36"/>
      <c r="I45" s="36"/>
    </row>
    <row collapsed="false" customFormat="false" customHeight="false" hidden="false" ht="13.5" outlineLevel="0" r="46">
      <c r="H46" s="36"/>
      <c r="I46" s="36"/>
    </row>
    <row collapsed="false" customFormat="false" customHeight="false" hidden="false" ht="14.25" outlineLevel="0" r="47">
      <c r="A47" s="28"/>
      <c r="B47" s="28" t="s">
        <v>145</v>
      </c>
      <c r="C47" s="28"/>
      <c r="D47" s="28"/>
      <c r="E47" s="28"/>
      <c r="F47" s="28"/>
      <c r="G47" s="28"/>
      <c r="H47" s="137" t="s">
        <v>146</v>
      </c>
      <c r="I47" s="90" t="n">
        <f aca="false">Beräkningsblad!J51</f>
        <v>0.636904879542985</v>
      </c>
    </row>
    <row collapsed="false" customFormat="false" customHeight="false" hidden="false" ht="14.25" outlineLevel="0" r="48">
      <c r="A48" s="28" t="s">
        <v>147</v>
      </c>
      <c r="B48" s="28"/>
      <c r="C48" s="28"/>
      <c r="D48" s="28"/>
      <c r="E48" s="56" t="e">
        <f aca="false">Beräkningsblad!J20-Beräkningsblad!J21</f>
        <v>#VALUE!</v>
      </c>
      <c r="F48" s="28" t="s">
        <v>148</v>
      </c>
      <c r="G48" s="28"/>
      <c r="H48" s="28"/>
      <c r="I48" s="28"/>
    </row>
    <row collapsed="false" customFormat="false" customHeight="false" hidden="false" ht="14.25" outlineLevel="0" r="49">
      <c r="A49" s="28" t="s">
        <v>149</v>
      </c>
      <c r="B49" s="28"/>
      <c r="C49" s="28"/>
      <c r="D49" s="28"/>
      <c r="E49" s="56" t="e">
        <f aca="false">IF(Beräkningsblad!E22&gt;Beräkningsblad!E19,(Beräkningsblad!J22-Beräkningsblad!J24),Beräkningsblad!I22-Beräkningsblad!I24)</f>
        <v>#VALUE!</v>
      </c>
      <c r="F49" s="28" t="s">
        <v>148</v>
      </c>
      <c r="G49" s="28"/>
      <c r="H49" s="28"/>
      <c r="I49" s="28"/>
    </row>
    <row collapsed="false" customFormat="false" customHeight="false" hidden="false" ht="14.25" outlineLevel="0" r="50">
      <c r="A50" s="28" t="s">
        <v>150</v>
      </c>
      <c r="B50" s="28"/>
      <c r="C50" s="28"/>
      <c r="D50" s="28"/>
      <c r="E50" s="56" t="e">
        <f aca="false">Beräkningsblad!I25-Beräkningsblad!I28</f>
        <v>#VALUE!</v>
      </c>
      <c r="F50" s="28" t="s">
        <v>148</v>
      </c>
      <c r="G50" s="28"/>
      <c r="H50" s="28"/>
      <c r="I50" s="28"/>
    </row>
    <row collapsed="false" customFormat="false" customHeight="false" hidden="false" ht="14.25" outlineLevel="0" r="51">
      <c r="A51" s="28" t="s">
        <v>151</v>
      </c>
      <c r="B51" s="28"/>
      <c r="C51" s="28"/>
      <c r="D51" s="28"/>
      <c r="E51" s="56" t="e">
        <f aca="false">Beräkningsblad!I29-Beräkningsblad!I32</f>
        <v>#VALUE!</v>
      </c>
      <c r="F51" s="28"/>
      <c r="G51" s="28"/>
      <c r="H51" s="28"/>
      <c r="I51" s="28"/>
    </row>
    <row collapsed="false" customFormat="false" customHeight="false" hidden="false" ht="14.25" outlineLevel="0" r="52">
      <c r="A52" s="28" t="s">
        <v>152</v>
      </c>
      <c r="B52" s="28"/>
      <c r="C52" s="28"/>
      <c r="D52" s="28"/>
      <c r="E52" s="56" t="e">
        <f aca="false">Beräkningsblad!I33-Beräkningsblad!I36</f>
        <v>#VALUE!</v>
      </c>
      <c r="F52" s="28" t="s">
        <v>148</v>
      </c>
      <c r="G52" s="28"/>
      <c r="H52" s="28"/>
      <c r="I52" s="28"/>
    </row>
    <row collapsed="false" customFormat="false" customHeight="false" hidden="false" ht="14.25" outlineLevel="0" r="53">
      <c r="A53" s="28" t="s">
        <v>153</v>
      </c>
      <c r="B53" s="28"/>
      <c r="C53" s="28"/>
      <c r="D53" s="28"/>
      <c r="E53" s="56" t="e">
        <f aca="false">Beräkningsblad!J38-Beräkningsblad!J41</f>
        <v>#VALUE!</v>
      </c>
      <c r="F53" s="28" t="s">
        <v>148</v>
      </c>
      <c r="G53" s="28"/>
      <c r="H53" s="28"/>
      <c r="I53" s="28"/>
    </row>
    <row collapsed="false" customFormat="false" customHeight="false" hidden="false" ht="14.25" outlineLevel="0" r="54">
      <c r="A54" s="28" t="s">
        <v>154</v>
      </c>
      <c r="B54" s="28"/>
      <c r="C54" s="28"/>
      <c r="D54" s="28"/>
      <c r="E54" s="56" t="e">
        <f aca="false">Beräkningsblad!J42-Beräkningsblad!J45</f>
        <v>#VALUE!</v>
      </c>
      <c r="F54" s="28" t="s">
        <v>148</v>
      </c>
      <c r="G54" s="28"/>
      <c r="H54" s="28"/>
      <c r="I54" s="28"/>
    </row>
    <row collapsed="false" customFormat="false" customHeight="false" hidden="false" ht="13.5" outlineLevel="0" r="55"/>
  </sheetData>
  <mergeCells count="13">
    <mergeCell ref="F3:I3"/>
    <mergeCell ref="C4:D4"/>
    <mergeCell ref="F4:I4"/>
    <mergeCell ref="G28:G29"/>
    <mergeCell ref="I31:I32"/>
    <mergeCell ref="A40:A41"/>
    <mergeCell ref="E40:E41"/>
    <mergeCell ref="F40:F41"/>
    <mergeCell ref="H40:I40"/>
    <mergeCell ref="A43:A44"/>
    <mergeCell ref="E43:E44"/>
    <mergeCell ref="F43:F44"/>
    <mergeCell ref="H43:I43"/>
  </mergeCells>
  <printOptions headings="false" gridLines="false" gridLinesSet="true" horizontalCentered="false" verticalCentered="false"/>
  <pageMargins left="0.7875" right="0.590277777777778" top="0.39375" bottom="0.393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4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30" activeCellId="0" pane="topLeft" sqref="A30"/>
    </sheetView>
  </sheetViews>
  <sheetFormatPr defaultRowHeight="12.75"/>
  <cols>
    <col collapsed="false" hidden="false" max="1" min="1" style="0" width="8.72959183673469"/>
    <col collapsed="false" hidden="false" max="2" min="2" style="0" width="6.71428571428571"/>
    <col collapsed="false" hidden="false" max="3" min="3" style="0" width="8.72959183673469"/>
    <col collapsed="false" hidden="false" max="4" min="4" style="0" width="1.4234693877551"/>
    <col collapsed="false" hidden="false" max="5" min="5" style="0" width="8.72959183673469"/>
    <col collapsed="false" hidden="false" max="6" min="6" style="0" width="9.70918367346939"/>
    <col collapsed="false" hidden="false" max="9" min="7" style="0" width="8.72959183673469"/>
    <col collapsed="false" hidden="false" max="10" min="10" style="0" width="4.42857142857143"/>
    <col collapsed="false" hidden="false" max="1025" min="11" style="0" width="8.72959183673469"/>
  </cols>
  <sheetData>
    <row collapsed="false" customFormat="false" customHeight="false" hidden="false" ht="13.5" outlineLevel="0" r="1">
      <c r="A1" s="138" t="s">
        <v>155</v>
      </c>
      <c r="B1" s="36"/>
      <c r="C1" s="138" t="s">
        <v>156</v>
      </c>
      <c r="E1" s="139" t="s">
        <v>157</v>
      </c>
      <c r="F1" s="36"/>
      <c r="G1" s="36"/>
      <c r="H1" s="36"/>
      <c r="I1" s="36"/>
      <c r="J1" s="36"/>
    </row>
    <row collapsed="false" customFormat="false" customHeight="false" hidden="false" ht="13.5" outlineLevel="0" r="2">
      <c r="A2" s="36" t="s">
        <v>158</v>
      </c>
      <c r="B2" s="36" t="n">
        <f aca="false">Beräkningsblad!C10</f>
        <v>400</v>
      </c>
      <c r="C2" s="36" t="n">
        <f aca="false">Beräkningsblad!C11</f>
        <v>4.15</v>
      </c>
      <c r="E2" s="36" t="s">
        <v>159</v>
      </c>
      <c r="F2" s="36"/>
      <c r="G2" s="36"/>
      <c r="H2" s="36"/>
      <c r="I2" s="36"/>
      <c r="J2" s="36"/>
    </row>
    <row collapsed="false" customFormat="false" customHeight="false" hidden="false" ht="14.25" outlineLevel="0" r="3">
      <c r="A3" s="36" t="s">
        <v>160</v>
      </c>
      <c r="B3" s="36" t="n">
        <f aca="false">Beräkningsblad!D10</f>
        <v>400</v>
      </c>
      <c r="C3" s="36" t="n">
        <f aca="false">Beräkningsblad!D11</f>
        <v>4.15</v>
      </c>
    </row>
    <row collapsed="false" customFormat="false" customHeight="false" hidden="false" ht="13.5" outlineLevel="0" r="4">
      <c r="A4" s="36" t="s">
        <v>161</v>
      </c>
      <c r="B4" s="36" t="n">
        <f aca="false">Beräkningsblad!E10</f>
        <v>400</v>
      </c>
      <c r="C4" s="36" t="n">
        <f aca="false">Beräkningsblad!E11</f>
        <v>4.15</v>
      </c>
      <c r="E4" s="36" t="s">
        <v>162</v>
      </c>
      <c r="F4" s="36"/>
      <c r="G4" s="36"/>
      <c r="H4" s="92" t="n">
        <f aca="false">Beräkningsblad!C10*Beräkningsblad!C11*Beräkningsblad!G10/1000</f>
        <v>1.66</v>
      </c>
      <c r="I4" s="36"/>
      <c r="J4" s="140" t="n">
        <f aca="false">IF(Beräkningsblad!C10&gt;0,IF(Beräkningsblad!C11&gt;0,IF(Beräkningsblad!G10&gt;0,(Beräkningsblad!C10*Beräkningsblad!C11*Beräkningsblad!G10/1000),""),""),"")</f>
        <v>1.66</v>
      </c>
    </row>
    <row collapsed="false" customFormat="false" customHeight="false" hidden="false" ht="13.5" outlineLevel="0" r="5">
      <c r="A5" s="36" t="s">
        <v>163</v>
      </c>
      <c r="B5" s="36" t="n">
        <f aca="false">SUM(B2:B4)</f>
        <v>1200</v>
      </c>
      <c r="C5" s="36" t="n">
        <f aca="false">SUM(C2:C4)</f>
        <v>12.45</v>
      </c>
      <c r="E5" s="36" t="s">
        <v>164</v>
      </c>
      <c r="F5" s="36"/>
      <c r="G5" s="36"/>
      <c r="H5" s="92" t="n">
        <f aca="false">B6*C6*Beräkningsblad!G10*SQRT(3)/1000</f>
        <v>2.87520434056434</v>
      </c>
      <c r="I5" s="36"/>
      <c r="J5" s="140" t="n">
        <f aca="false">IF(Beräkningsblad!C10&gt;0,IF(Beräkningsblad!D10&gt;0,IF(Beräkningsblad!E10&gt;0,IF(Beräkningsblad!C11&gt;0,IF(Beräkningsblad!D11&gt;0,IF(Beräkningsblad!E11&gt;0,IF(Beräkningsblad!G10&gt;0,(B6*C6*Beräkningsblad!G10*SQRT(3)/1000),""),""),""),""),""),""),"")</f>
        <v>2.87520434056434</v>
      </c>
    </row>
    <row collapsed="false" customFormat="false" customHeight="false" hidden="false" ht="14.25" outlineLevel="0" r="6">
      <c r="A6" s="36" t="s">
        <v>165</v>
      </c>
      <c r="B6" s="36" t="n">
        <f aca="false">B5/3</f>
        <v>400</v>
      </c>
      <c r="C6" s="36" t="n">
        <f aca="false">C5/3</f>
        <v>4.15</v>
      </c>
    </row>
    <row collapsed="false" customFormat="false" customHeight="false" hidden="false" ht="14.25" outlineLevel="0" r="7">
      <c r="E7" s="36" t="s">
        <v>166</v>
      </c>
      <c r="F7" s="36"/>
      <c r="H7" s="36" t="s">
        <v>167</v>
      </c>
      <c r="I7" s="36"/>
      <c r="J7" s="36"/>
    </row>
    <row collapsed="false" customFormat="false" customHeight="false" hidden="false" ht="14.25" outlineLevel="0" r="8">
      <c r="A8" s="93" t="s">
        <v>168</v>
      </c>
      <c r="B8" s="36"/>
      <c r="C8" s="36"/>
      <c r="D8" s="36"/>
    </row>
    <row collapsed="false" customFormat="false" customHeight="false" hidden="false" ht="14.25" outlineLevel="0" r="9">
      <c r="E9" s="36" t="s">
        <v>169</v>
      </c>
      <c r="F9" s="36"/>
      <c r="G9" s="36"/>
      <c r="H9" s="36" t="s">
        <v>170</v>
      </c>
      <c r="I9" s="36"/>
    </row>
    <row collapsed="false" customFormat="false" customHeight="false" hidden="false" ht="14.25" outlineLevel="0" r="10">
      <c r="A10" s="36" t="str">
        <f aca="false">("")</f>
        <v/>
      </c>
      <c r="B10" s="0" t="s">
        <v>171</v>
      </c>
    </row>
    <row collapsed="false" customFormat="false" customHeight="false" hidden="false" ht="14.25" outlineLevel="0" r="11">
      <c r="A11" s="0" t="n">
        <v>1</v>
      </c>
      <c r="E11" s="36" t="s">
        <v>172</v>
      </c>
      <c r="F11" s="36"/>
      <c r="G11" s="36"/>
      <c r="H11" s="36" t="s">
        <v>173</v>
      </c>
    </row>
    <row collapsed="false" customFormat="false" customHeight="false" hidden="false" ht="14.25" outlineLevel="0" r="12">
      <c r="A12" s="0" t="n">
        <v>0</v>
      </c>
    </row>
    <row collapsed="false" customFormat="false" customHeight="false" hidden="false" ht="14.25" outlineLevel="0" r="13">
      <c r="A13" s="36" t="s">
        <v>174</v>
      </c>
      <c r="B13" s="36"/>
      <c r="C13" s="36"/>
      <c r="E13" s="36" t="s">
        <v>175</v>
      </c>
      <c r="F13" s="36"/>
      <c r="G13" s="36"/>
    </row>
    <row collapsed="false" customFormat="false" customHeight="false" hidden="false" ht="14.25" outlineLevel="0" r="14">
      <c r="H14" s="36" t="s">
        <v>176</v>
      </c>
      <c r="I14" s="36"/>
    </row>
    <row collapsed="false" customFormat="false" customHeight="false" hidden="false" ht="14.25" outlineLevel="0" r="15">
      <c r="A15" s="92" t="str">
        <f aca="false">Beräkningsblad!E23</f>
        <v/>
      </c>
      <c r="B15" s="0" t="s">
        <v>177</v>
      </c>
      <c r="E15" s="36" t="s">
        <v>178</v>
      </c>
      <c r="F15" s="36"/>
      <c r="H15" s="36" t="s">
        <v>179</v>
      </c>
      <c r="I15" s="36"/>
    </row>
    <row collapsed="false" customFormat="false" customHeight="false" hidden="false" ht="14.25" outlineLevel="0" r="16">
      <c r="A16" s="92" t="n">
        <f aca="false">Beräkningsblad!E27</f>
        <v>-265</v>
      </c>
      <c r="B16" s="0" t="s">
        <v>180</v>
      </c>
      <c r="H16" s="36" t="s">
        <v>181</v>
      </c>
      <c r="I16" s="36"/>
    </row>
    <row collapsed="false" customFormat="false" customHeight="false" hidden="false" ht="13.5" outlineLevel="0" r="17">
      <c r="A17" s="92" t="str">
        <f aca="false">Beräkningsblad!E31</f>
        <v/>
      </c>
      <c r="B17" s="0" t="s">
        <v>182</v>
      </c>
      <c r="E17" s="36" t="s">
        <v>183</v>
      </c>
      <c r="F17" s="36" t="s">
        <v>184</v>
      </c>
      <c r="G17" s="36"/>
      <c r="H17" s="36"/>
      <c r="I17" s="36"/>
    </row>
    <row collapsed="false" customFormat="false" customHeight="false" hidden="false" ht="13.5" outlineLevel="0" r="18">
      <c r="A18" s="92" t="n">
        <f aca="false">SUM(A16,A15)</f>
        <v>-265</v>
      </c>
      <c r="B18" s="0" t="s">
        <v>163</v>
      </c>
      <c r="E18" s="36"/>
      <c r="F18" s="36"/>
      <c r="G18" s="36"/>
      <c r="H18" s="36"/>
      <c r="I18" s="36"/>
    </row>
    <row collapsed="false" customFormat="false" customHeight="false" hidden="false" ht="14.25" outlineLevel="0" r="19">
      <c r="A19" s="36" t="n">
        <f aca="false">Beräkningsblad!E47</f>
        <v>-0.007270820400453</v>
      </c>
      <c r="B19" s="0" t="s">
        <v>185</v>
      </c>
      <c r="E19" s="141" t="s">
        <v>112</v>
      </c>
      <c r="F19" s="36" t="n">
        <f aca="false">Beräkningsblad!E14</f>
        <v>1.9</v>
      </c>
      <c r="G19" s="36" t="s">
        <v>186</v>
      </c>
      <c r="H19" s="36"/>
      <c r="I19" s="36"/>
    </row>
    <row collapsed="false" customFormat="false" customHeight="false" hidden="false" ht="14.25" outlineLevel="0" r="20">
      <c r="A20" s="92" t="n">
        <f aca="false">A19*A18</f>
        <v>1.92676740612004</v>
      </c>
      <c r="B20" s="0" t="s">
        <v>187</v>
      </c>
      <c r="E20" s="142" t="s">
        <v>188</v>
      </c>
      <c r="F20" s="36" t="n">
        <f aca="false">Beräkningsblad!E15</f>
        <v>-12</v>
      </c>
      <c r="G20" s="138" t="s">
        <v>22</v>
      </c>
      <c r="H20" s="36"/>
      <c r="I20" s="36"/>
    </row>
    <row collapsed="false" customFormat="false" customHeight="false" hidden="false" ht="14.25" outlineLevel="0" r="21">
      <c r="E21" s="36" t="s">
        <v>189</v>
      </c>
      <c r="F21" s="143" t="n">
        <f aca="false">VLOOKUP(F19,Blad3!A6:J121,10)</f>
        <v>1.742</v>
      </c>
      <c r="G21" s="36"/>
      <c r="H21" s="36"/>
      <c r="I21" s="36"/>
    </row>
    <row collapsed="false" customFormat="false" customHeight="false" hidden="false" ht="14.25" outlineLevel="0" r="22">
      <c r="A22" s="36" t="s">
        <v>190</v>
      </c>
      <c r="E22" s="142" t="s">
        <v>191</v>
      </c>
      <c r="F22" s="144" t="n">
        <f aca="false">VLOOKUP(F19,Blad3!A6:M121,13)</f>
        <v>0.003</v>
      </c>
      <c r="G22" s="36"/>
      <c r="H22" s="36"/>
      <c r="I22" s="36"/>
    </row>
    <row collapsed="false" customFormat="false" customHeight="false" hidden="false" ht="14.25" outlineLevel="0" r="23">
      <c r="E23" s="142" t="s">
        <v>53</v>
      </c>
      <c r="F23" s="36" t="n">
        <f aca="false">Beräkningsblad!E45-Beräkningsblad!E15</f>
        <v>5.5</v>
      </c>
      <c r="G23" s="138" t="s">
        <v>40</v>
      </c>
      <c r="H23" s="98" t="s">
        <v>134</v>
      </c>
      <c r="I23" s="145" t="n">
        <f aca="false">Beräkningsblad!J45</f>
        <v>395.444280316043</v>
      </c>
    </row>
    <row collapsed="false" customFormat="false" customHeight="false" hidden="false" ht="14.25" outlineLevel="0" r="24">
      <c r="A24" s="36" t="str">
        <f aca="false">Beräkningsblad!D63</f>
        <v/>
      </c>
      <c r="B24" s="0" t="s">
        <v>192</v>
      </c>
      <c r="E24" s="138" t="s">
        <v>193</v>
      </c>
      <c r="F24" s="36"/>
      <c r="G24" s="92" t="n">
        <f aca="false">F21+(F23*F22)</f>
        <v>1.7585</v>
      </c>
      <c r="H24" s="36"/>
      <c r="I24" s="36"/>
    </row>
    <row collapsed="false" customFormat="false" customHeight="false" hidden="false" ht="14.25" outlineLevel="0" r="25">
      <c r="A25" s="36" t="str">
        <f aca="false">Beräkningsblad!E63</f>
        <v/>
      </c>
      <c r="B25" s="0" t="s">
        <v>194</v>
      </c>
      <c r="E25" s="36"/>
      <c r="F25" s="36"/>
      <c r="G25" s="36"/>
      <c r="H25" s="36"/>
      <c r="I25" s="36"/>
    </row>
    <row collapsed="false" customFormat="false" customHeight="false" hidden="false" ht="14.25" outlineLevel="0" r="26">
      <c r="A26" s="36" t="str">
        <f aca="false">Beräkningsblad!F63</f>
        <v/>
      </c>
      <c r="B26" s="0" t="s">
        <v>195</v>
      </c>
    </row>
    <row collapsed="false" customFormat="false" customHeight="false" hidden="false" ht="14.25" outlineLevel="0" r="27">
      <c r="A27" s="36" t="n">
        <f aca="false">SUM(A24:A26)</f>
        <v>0</v>
      </c>
      <c r="B27" s="0" t="s">
        <v>163</v>
      </c>
      <c r="E27" s="36" t="s">
        <v>189</v>
      </c>
      <c r="F27" s="36"/>
      <c r="G27" s="36"/>
      <c r="H27" s="36"/>
      <c r="I27" s="36"/>
    </row>
    <row collapsed="false" customFormat="false" customHeight="false" hidden="false" ht="14.25" outlineLevel="0" r="28">
      <c r="E28" s="36"/>
      <c r="F28" s="36"/>
      <c r="G28" s="36"/>
      <c r="H28" s="36"/>
      <c r="I28" s="36"/>
    </row>
    <row collapsed="false" customFormat="false" customHeight="false" hidden="false" ht="14.25" outlineLevel="0" r="29">
      <c r="E29" s="141" t="s">
        <v>108</v>
      </c>
      <c r="F29" s="36" t="n">
        <f aca="false">Beräkningsblad!E17</f>
        <v>20</v>
      </c>
      <c r="G29" s="36" t="s">
        <v>186</v>
      </c>
      <c r="H29" s="36"/>
      <c r="I29" s="36"/>
    </row>
    <row collapsed="false" customFormat="false" customHeight="false" hidden="false" ht="14.25" outlineLevel="0" r="30">
      <c r="E30" s="141" t="s">
        <v>196</v>
      </c>
      <c r="F30" s="36" t="n">
        <f aca="false">Beräkningsblad!E18</f>
        <v>65</v>
      </c>
      <c r="G30" s="36" t="s">
        <v>111</v>
      </c>
      <c r="H30" s="36"/>
      <c r="I30" s="36"/>
    </row>
    <row collapsed="false" customFormat="false" customHeight="false" hidden="false" ht="14.25" outlineLevel="0" r="31">
      <c r="E31" s="141" t="s">
        <v>189</v>
      </c>
      <c r="F31" s="143" t="n">
        <f aca="false">VLOOKUP(F29,Blad3!A6:J121,10)</f>
        <v>1.7</v>
      </c>
      <c r="G31" s="36"/>
      <c r="H31" s="36" t="s">
        <v>134</v>
      </c>
      <c r="I31" s="98" t="n">
        <f aca="false">Beräkningsblad!J18</f>
        <v>0</v>
      </c>
    </row>
    <row collapsed="false" customFormat="false" customHeight="false" hidden="false" ht="14.25" outlineLevel="0" r="32">
      <c r="E32" s="141" t="s">
        <v>192</v>
      </c>
      <c r="F32" s="36" t="n">
        <f aca="false">Beräkningsblad!E20</f>
        <v>106.5</v>
      </c>
      <c r="G32" s="138" t="s">
        <v>22</v>
      </c>
      <c r="H32" s="36" t="s">
        <v>134</v>
      </c>
      <c r="I32" s="145" t="n">
        <f aca="false">Beräkningsblad!J20</f>
        <v>0</v>
      </c>
    </row>
    <row collapsed="false" customFormat="false" customHeight="false" hidden="false" ht="14.25" outlineLevel="0" r="33">
      <c r="E33" s="146" t="s">
        <v>53</v>
      </c>
      <c r="F33" s="36" t="n">
        <f aca="false">F32-Beräkningsblad!E18</f>
        <v>41.5</v>
      </c>
      <c r="G33" s="138" t="s">
        <v>40</v>
      </c>
      <c r="H33" s="36" t="s">
        <v>197</v>
      </c>
      <c r="I33" s="145" t="n">
        <f aca="false">I32-I31</f>
        <v>0</v>
      </c>
    </row>
    <row collapsed="false" customFormat="false" customHeight="false" hidden="false" ht="14.25" outlineLevel="0" r="34">
      <c r="E34" s="142" t="s">
        <v>198</v>
      </c>
      <c r="F34" s="36" t="n">
        <f aca="false">VLOOKUP(F29,Blad3!A6:M121,13)</f>
        <v>0.00366666666666666</v>
      </c>
      <c r="G34" s="92"/>
      <c r="H34" s="36"/>
      <c r="I34" s="36"/>
    </row>
    <row collapsed="false" customFormat="false" customHeight="false" hidden="false" ht="14.25" outlineLevel="0" r="35">
      <c r="E35" s="138" t="s">
        <v>193</v>
      </c>
      <c r="F35" s="36"/>
      <c r="G35" s="136" t="n">
        <f aca="false">F31+(F34*F33)</f>
        <v>1.85216666666667</v>
      </c>
      <c r="H35" s="36"/>
      <c r="I35" s="36"/>
    </row>
    <row collapsed="false" customFormat="false" customHeight="false" hidden="false" ht="14.25" outlineLevel="0" r="36">
      <c r="E36" s="138" t="s">
        <v>199</v>
      </c>
      <c r="F36" s="36"/>
      <c r="G36" s="136" t="n">
        <f aca="false">G35-F31</f>
        <v>0.152166666666667</v>
      </c>
      <c r="H36" s="36"/>
      <c r="I36" s="136"/>
    </row>
    <row collapsed="false" customFormat="false" customHeight="false" hidden="false" ht="14.25" outlineLevel="0" r="37">
      <c r="E37" s="138" t="s">
        <v>200</v>
      </c>
      <c r="F37" s="36"/>
      <c r="G37" s="136" t="n">
        <f aca="false">G24</f>
        <v>1.7585</v>
      </c>
      <c r="H37" s="36"/>
      <c r="I37" s="145" t="n">
        <f aca="false">I31+((G37-F31)/G36*I33)</f>
        <v>0</v>
      </c>
    </row>
    <row collapsed="false" customFormat="false" customHeight="false" hidden="false" ht="14.25" outlineLevel="0" r="38">
      <c r="E38" s="138" t="s">
        <v>201</v>
      </c>
      <c r="F38" s="36"/>
      <c r="G38" s="85" t="n">
        <f aca="false">F30+((G24-F31)*F33/G36)</f>
        <v>80.9545454545454</v>
      </c>
      <c r="H38" s="36"/>
      <c r="I38" s="36"/>
    </row>
    <row collapsed="false" customFormat="false" customHeight="false" hidden="false" ht="14.25" outlineLevel="0" r="39">
      <c r="E39" s="36"/>
      <c r="F39" s="36"/>
      <c r="G39" s="36"/>
      <c r="H39" s="36"/>
    </row>
    <row collapsed="false" customFormat="false" customHeight="false" hidden="false" ht="13.5" outlineLevel="0" r="40">
      <c r="E40" s="36" t="s">
        <v>202</v>
      </c>
      <c r="F40" s="36"/>
      <c r="G40" s="36"/>
      <c r="H40" s="36"/>
    </row>
    <row collapsed="false" customFormat="false" customHeight="false" hidden="false" ht="13.5" outlineLevel="0" r="41">
      <c r="E41" s="36"/>
      <c r="F41" s="98" t="s">
        <v>134</v>
      </c>
      <c r="G41" s="98"/>
      <c r="H41" s="36"/>
    </row>
    <row collapsed="false" customFormat="false" customHeight="false" hidden="false" ht="14.25" outlineLevel="0" r="42">
      <c r="E42" s="135" t="s">
        <v>107</v>
      </c>
      <c r="F42" s="145" t="n">
        <f aca="false">(I37-I23)/(I32-I23)</f>
        <v>1</v>
      </c>
      <c r="G42" s="145"/>
      <c r="H42" s="36"/>
    </row>
    <row collapsed="false" customFormat="false" customHeight="false" hidden="false" ht="13.5" outlineLevel="0" r="44"/>
  </sheetData>
  <printOptions headings="true" gridLines="true" gridLinesSet="true" horizontalCentered="false" verticalCentered="false"/>
  <pageMargins left="0.7875" right="0.7875" top="0.984027777777778" bottom="0.984027777777778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45"/>
  <sheetViews>
    <sheetView colorId="64" defaultGridColor="true" rightToLeft="false" showFormulas="false" showGridLines="true" showOutlineSymbols="true" showRowColHeaders="true" showZeros="true" tabSelected="false" topLeftCell="A1" view="normal" windowProtection="true" workbookViewId="0" zoomScale="100" zoomScaleNormal="100" zoomScalePageLayoutView="100">
      <pane activePane="bottomLeft" topLeftCell="A6" xSplit="0" ySplit="5"/>
      <selection activeCell="A1" activeCellId="0" pane="topLeft" sqref="A1"/>
      <selection activeCell="A1" activeCellId="0" pane="bottomLeft" sqref="A1"/>
    </sheetView>
  </sheetViews>
  <sheetFormatPr defaultRowHeight="12.75"/>
  <cols>
    <col collapsed="false" hidden="false" max="3" min="1" style="0" width="8.72959183673469"/>
    <col collapsed="false" hidden="false" max="4" min="4" style="86" width="9.14285714285714"/>
    <col collapsed="false" hidden="false" max="5" min="5" style="147" width="9.14285714285714"/>
    <col collapsed="false" hidden="false" max="10" min="6" style="0" width="8.72959183673469"/>
    <col collapsed="false" hidden="false" max="11" min="11" style="148" width="9.14285714285714"/>
    <col collapsed="false" hidden="false" max="1025" min="12" style="0" width="8.72959183673469"/>
  </cols>
  <sheetData>
    <row collapsed="false" customFormat="false" customHeight="false" hidden="false" ht="14.25" outlineLevel="0" r="1">
      <c r="A1" s="149" t="s">
        <v>0</v>
      </c>
      <c r="B1" s="150" t="s">
        <v>203</v>
      </c>
      <c r="C1" s="151"/>
      <c r="D1" s="92" t="s">
        <v>204</v>
      </c>
      <c r="E1" s="143"/>
      <c r="F1" s="143" t="s">
        <v>205</v>
      </c>
      <c r="G1" s="143"/>
      <c r="H1" s="152"/>
      <c r="I1" s="98" t="s">
        <v>206</v>
      </c>
      <c r="J1" s="153"/>
      <c r="K1" s="154" t="s">
        <v>207</v>
      </c>
      <c r="L1" s="152"/>
      <c r="M1" s="152"/>
      <c r="N1" s="36"/>
    </row>
    <row collapsed="false" customFormat="false" customHeight="false" hidden="false" ht="14.25" outlineLevel="0" r="2">
      <c r="A2" s="155"/>
      <c r="B2" s="143" t="s">
        <v>208</v>
      </c>
      <c r="C2" s="143" t="s">
        <v>209</v>
      </c>
      <c r="D2" s="92" t="s">
        <v>208</v>
      </c>
      <c r="E2" s="143" t="s">
        <v>209</v>
      </c>
      <c r="F2" s="143" t="s">
        <v>210</v>
      </c>
      <c r="G2" s="143" t="s">
        <v>209</v>
      </c>
      <c r="H2" s="98"/>
      <c r="I2" s="98" t="s">
        <v>134</v>
      </c>
      <c r="J2" s="154" t="s">
        <v>211</v>
      </c>
      <c r="K2" s="154" t="s">
        <v>212</v>
      </c>
      <c r="L2" s="98"/>
      <c r="M2" s="98"/>
      <c r="N2" s="98"/>
    </row>
    <row collapsed="false" customFormat="false" customHeight="false" hidden="false" ht="14.25" outlineLevel="0" r="3">
      <c r="A3" s="136" t="s">
        <v>213</v>
      </c>
      <c r="B3" s="145" t="s">
        <v>214</v>
      </c>
      <c r="C3" s="145" t="s">
        <v>215</v>
      </c>
      <c r="D3" s="136" t="s">
        <v>216</v>
      </c>
      <c r="E3" s="145" t="s">
        <v>217</v>
      </c>
      <c r="F3" s="145" t="s">
        <v>218</v>
      </c>
      <c r="G3" s="145" t="s">
        <v>218</v>
      </c>
      <c r="H3" s="98"/>
      <c r="I3" s="98" t="s">
        <v>114</v>
      </c>
      <c r="J3" s="154" t="s">
        <v>219</v>
      </c>
      <c r="K3" s="156" t="s">
        <v>53</v>
      </c>
      <c r="L3" s="98"/>
      <c r="M3" s="98"/>
      <c r="N3" s="98"/>
    </row>
    <row collapsed="false" customFormat="false" customHeight="false" hidden="false" ht="14.25" outlineLevel="0" r="4">
      <c r="A4" s="136" t="s">
        <v>220</v>
      </c>
      <c r="B4" s="145" t="s">
        <v>221</v>
      </c>
      <c r="C4" s="145" t="s">
        <v>221</v>
      </c>
      <c r="D4" s="136" t="s">
        <v>222</v>
      </c>
      <c r="E4" s="145" t="s">
        <v>222</v>
      </c>
      <c r="F4" s="145" t="s">
        <v>223</v>
      </c>
      <c r="G4" s="145" t="s">
        <v>223</v>
      </c>
      <c r="H4" s="154" t="s">
        <v>191</v>
      </c>
      <c r="I4" s="98" t="s">
        <v>224</v>
      </c>
      <c r="J4" s="154"/>
      <c r="K4" s="154" t="s">
        <v>225</v>
      </c>
      <c r="L4" s="142" t="s">
        <v>53</v>
      </c>
      <c r="M4" s="154" t="s">
        <v>191</v>
      </c>
      <c r="N4" s="36"/>
    </row>
    <row collapsed="false" customFormat="false" customHeight="false" hidden="false" ht="14.25" outlineLevel="0" r="5">
      <c r="A5" s="136" t="s">
        <v>226</v>
      </c>
      <c r="B5" s="143"/>
      <c r="C5" s="143"/>
      <c r="D5" s="136" t="s">
        <v>227</v>
      </c>
      <c r="E5" s="143"/>
      <c r="F5" s="143"/>
      <c r="G5" s="143"/>
      <c r="H5" s="98" t="s">
        <v>192</v>
      </c>
      <c r="I5" s="98" t="s">
        <v>228</v>
      </c>
      <c r="J5" s="98" t="s">
        <v>189</v>
      </c>
      <c r="K5" s="154" t="s">
        <v>229</v>
      </c>
      <c r="L5" s="98" t="s">
        <v>189</v>
      </c>
      <c r="M5" s="98" t="s">
        <v>189</v>
      </c>
      <c r="N5" s="36"/>
    </row>
    <row collapsed="false" customFormat="false" customHeight="false" hidden="false" ht="15" outlineLevel="0" r="6">
      <c r="A6" s="65" t="n">
        <v>0.516</v>
      </c>
      <c r="B6" s="0" t="n">
        <v>-40</v>
      </c>
      <c r="C6" s="0" t="n">
        <v>-40</v>
      </c>
      <c r="D6" s="86" t="n">
        <v>0.706</v>
      </c>
      <c r="E6" s="147" t="n">
        <v>357.66</v>
      </c>
      <c r="F6" s="147" t="n">
        <v>149.34</v>
      </c>
      <c r="G6" s="147" t="n">
        <v>372.78</v>
      </c>
      <c r="H6" s="157" t="n">
        <f aca="false">($I6-$G6)/(130-$C6)</f>
        <v>0.877764705882353</v>
      </c>
      <c r="I6" s="147" t="n">
        <v>522</v>
      </c>
      <c r="J6" s="147" t="n">
        <v>1.77</v>
      </c>
      <c r="K6" s="158" t="n">
        <f aca="false">C6+30</f>
        <v>-10</v>
      </c>
      <c r="L6" s="147" t="n">
        <v>1.82</v>
      </c>
      <c r="M6" s="159" t="n">
        <f aca="false">(L6-J6)/30</f>
        <v>0.00166666666666667</v>
      </c>
    </row>
    <row collapsed="false" customFormat="false" customHeight="false" hidden="false" ht="14.25" outlineLevel="0" r="7">
      <c r="A7" s="65" t="n">
        <v>0.554</v>
      </c>
      <c r="B7" s="0" t="n">
        <v>-39</v>
      </c>
      <c r="C7" s="0" t="n">
        <v>-39</v>
      </c>
      <c r="D7" s="86" t="n">
        <v>0.707</v>
      </c>
      <c r="E7" s="147" t="n">
        <v>340.72</v>
      </c>
      <c r="F7" s="147" t="n">
        <v>150.53</v>
      </c>
      <c r="G7" s="147" t="n">
        <v>373.42</v>
      </c>
      <c r="H7" s="157" t="n">
        <f aca="false">($I7-$G7)/(130-$C7)</f>
        <v>0.878882955693462</v>
      </c>
      <c r="I7" s="147" t="n">
        <v>521.951219512195</v>
      </c>
      <c r="J7" s="147" t="n">
        <v>1.769</v>
      </c>
      <c r="K7" s="158" t="n">
        <f aca="false">C7+30</f>
        <v>-9</v>
      </c>
      <c r="L7" s="147" t="n">
        <v>1.823</v>
      </c>
      <c r="M7" s="159" t="n">
        <f aca="false">(L7-J7)/30</f>
        <v>0.00179999999999999</v>
      </c>
    </row>
    <row collapsed="false" customFormat="false" customHeight="false" hidden="false" ht="14.25" outlineLevel="0" r="8">
      <c r="A8" s="65" t="n">
        <v>0.572</v>
      </c>
      <c r="B8" s="0" t="n">
        <v>-38</v>
      </c>
      <c r="C8" s="0" t="n">
        <v>-38</v>
      </c>
      <c r="D8" s="86" t="n">
        <v>0.708</v>
      </c>
      <c r="E8" s="147" t="n">
        <v>324.73</v>
      </c>
      <c r="F8" s="147" t="n">
        <v>151.72</v>
      </c>
      <c r="G8" s="147" t="n">
        <v>374.07</v>
      </c>
      <c r="H8" s="157" t="n">
        <f aca="false">($I8-$G8)/(130-$C8)</f>
        <v>0.879954994192799</v>
      </c>
      <c r="I8" s="147" t="n">
        <v>521.90243902439</v>
      </c>
      <c r="J8" s="147" t="n">
        <v>1.768</v>
      </c>
      <c r="K8" s="158" t="n">
        <f aca="false">C8+30</f>
        <v>-8</v>
      </c>
      <c r="L8" s="147" t="n">
        <v>1.826</v>
      </c>
      <c r="M8" s="159" t="n">
        <f aca="false">(L8-J8)/30</f>
        <v>0.00193333333333334</v>
      </c>
    </row>
    <row collapsed="false" customFormat="false" customHeight="false" hidden="false" ht="14.25" outlineLevel="0" r="9">
      <c r="A9" s="65" t="n">
        <v>0.602</v>
      </c>
      <c r="B9" s="0" t="n">
        <v>-37</v>
      </c>
      <c r="C9" s="0" t="n">
        <v>-37</v>
      </c>
      <c r="D9" s="86" t="n">
        <v>0.71</v>
      </c>
      <c r="E9" s="147" t="n">
        <v>309.63</v>
      </c>
      <c r="F9" s="147" t="n">
        <v>152.91</v>
      </c>
      <c r="G9" s="147" t="n">
        <v>374.71</v>
      </c>
      <c r="H9" s="157" t="n">
        <f aca="false">($I9-$G9)/(130-$C9)</f>
        <v>0.88109975171608</v>
      </c>
      <c r="I9" s="147" t="n">
        <v>521.853658536585</v>
      </c>
      <c r="J9" s="147" t="n">
        <v>1.767</v>
      </c>
      <c r="K9" s="158" t="n">
        <f aca="false">C9+30</f>
        <v>-7</v>
      </c>
      <c r="L9" s="147" t="n">
        <v>1.829</v>
      </c>
      <c r="M9" s="159" t="n">
        <f aca="false">(L9-J9)/30</f>
        <v>0.00206666666666667</v>
      </c>
    </row>
    <row collapsed="false" customFormat="false" customHeight="false" hidden="false" ht="14.25" outlineLevel="0" r="10">
      <c r="A10" s="65" t="n">
        <v>0.663</v>
      </c>
      <c r="B10" s="0" t="n">
        <v>-36</v>
      </c>
      <c r="C10" s="0" t="n">
        <v>-36</v>
      </c>
      <c r="D10" s="86" t="n">
        <v>0.711</v>
      </c>
      <c r="E10" s="147" t="n">
        <v>295.36</v>
      </c>
      <c r="F10" s="147" t="n">
        <v>154.11</v>
      </c>
      <c r="G10" s="147" t="n">
        <v>375.35</v>
      </c>
      <c r="H10" s="157" t="n">
        <f aca="false">($I10-$G10)/(130-$C10)</f>
        <v>0.882258301498677</v>
      </c>
      <c r="I10" s="147" t="n">
        <v>521.80487804878</v>
      </c>
      <c r="J10" s="147" t="n">
        <v>1.766</v>
      </c>
      <c r="K10" s="158" t="n">
        <f aca="false">C10+30</f>
        <v>-6</v>
      </c>
      <c r="L10" s="147" t="n">
        <v>1.832</v>
      </c>
      <c r="M10" s="159" t="n">
        <f aca="false">(L10-J10)/30</f>
        <v>0.0022</v>
      </c>
    </row>
    <row collapsed="false" customFormat="false" customHeight="false" hidden="false" ht="14.25" outlineLevel="0" r="11">
      <c r="A11" s="65" t="n">
        <v>0.666</v>
      </c>
      <c r="B11" s="0" t="n">
        <v>-35</v>
      </c>
      <c r="C11" s="0" t="n">
        <v>-35</v>
      </c>
      <c r="D11" s="86" t="n">
        <v>0.713</v>
      </c>
      <c r="E11" s="147" t="n">
        <v>281.87</v>
      </c>
      <c r="F11" s="147" t="n">
        <v>155.32</v>
      </c>
      <c r="G11" s="147" t="n">
        <v>375.99</v>
      </c>
      <c r="H11" s="157" t="n">
        <f aca="false">($I11-$G11)/(130-$C11)</f>
        <v>0.883430894308943</v>
      </c>
      <c r="I11" s="147" t="n">
        <v>521.756097560976</v>
      </c>
      <c r="J11" s="147" t="n">
        <v>1.765</v>
      </c>
      <c r="K11" s="158" t="n">
        <f aca="false">C11+30</f>
        <v>-5</v>
      </c>
      <c r="L11" s="147" t="n">
        <v>1.835</v>
      </c>
      <c r="M11" s="159" t="n">
        <f aca="false">(L11-J11)/30</f>
        <v>0.00233333333333334</v>
      </c>
    </row>
    <row collapsed="false" customFormat="false" customHeight="false" hidden="false" ht="14.25" outlineLevel="0" r="12">
      <c r="A12" s="65" t="n">
        <v>0.699</v>
      </c>
      <c r="B12" s="0" t="n">
        <v>-34</v>
      </c>
      <c r="C12" s="0" t="n">
        <v>-34</v>
      </c>
      <c r="D12" s="86" t="n">
        <v>0.714</v>
      </c>
      <c r="E12" s="147" t="n">
        <v>269.12</v>
      </c>
      <c r="F12" s="147" t="n">
        <v>156.53</v>
      </c>
      <c r="G12" s="147" t="n">
        <v>376.63</v>
      </c>
      <c r="H12" s="157" t="n">
        <f aca="false">($I12-$G12)/(130-$C12)</f>
        <v>0.884617787031529</v>
      </c>
      <c r="I12" s="147" t="n">
        <v>521.707317073171</v>
      </c>
      <c r="J12" s="147" t="n">
        <v>1.764</v>
      </c>
      <c r="K12" s="158" t="n">
        <f aca="false">C12+30</f>
        <v>-4</v>
      </c>
      <c r="L12" s="147" t="n">
        <v>1.838</v>
      </c>
      <c r="M12" s="159" t="n">
        <f aca="false">(L12-J12)/30</f>
        <v>0.00246666666666667</v>
      </c>
    </row>
    <row collapsed="false" customFormat="false" customHeight="false" hidden="false" ht="14.25" outlineLevel="0" r="13">
      <c r="A13" s="65" t="n">
        <v>0.734</v>
      </c>
      <c r="B13" s="0" t="n">
        <v>-33</v>
      </c>
      <c r="C13" s="0" t="n">
        <v>-33</v>
      </c>
      <c r="D13" s="86" t="n">
        <v>0.716</v>
      </c>
      <c r="E13" s="147" t="n">
        <v>257.05</v>
      </c>
      <c r="F13" s="147" t="n">
        <v>157.74</v>
      </c>
      <c r="G13" s="147" t="n">
        <v>377.27</v>
      </c>
      <c r="H13" s="157" t="n">
        <f aca="false">($I13-$G13)/(130-$C13)</f>
        <v>0.885819242855005</v>
      </c>
      <c r="I13" s="147" t="n">
        <v>521.658536585366</v>
      </c>
      <c r="J13" s="147" t="n">
        <v>1.763</v>
      </c>
      <c r="K13" s="158" t="n">
        <f aca="false">C13+30</f>
        <v>-3</v>
      </c>
      <c r="L13" s="147" t="n">
        <v>1.841</v>
      </c>
      <c r="M13" s="159" t="n">
        <f aca="false">(L13-J13)/30</f>
        <v>0.0026</v>
      </c>
    </row>
    <row collapsed="false" customFormat="false" customHeight="false" hidden="false" ht="14.25" outlineLevel="0" r="14">
      <c r="A14" s="65" t="n">
        <v>0.77</v>
      </c>
      <c r="B14" s="0" t="n">
        <v>-32</v>
      </c>
      <c r="C14" s="0" t="n">
        <v>-32</v>
      </c>
      <c r="D14" s="86" t="n">
        <v>0.717</v>
      </c>
      <c r="E14" s="147" t="n">
        <v>245.62</v>
      </c>
      <c r="F14" s="147" t="n">
        <v>158.96</v>
      </c>
      <c r="G14" s="147" t="n">
        <v>377.91</v>
      </c>
      <c r="H14" s="157" t="n">
        <f aca="false">($I14-$G14)/(130-$C14)</f>
        <v>0.887035531466426</v>
      </c>
      <c r="I14" s="147" t="n">
        <v>521.609756097561</v>
      </c>
      <c r="J14" s="147" t="n">
        <v>1.762</v>
      </c>
      <c r="K14" s="158" t="n">
        <f aca="false">C14+30</f>
        <v>-2</v>
      </c>
      <c r="L14" s="147" t="n">
        <v>1.844</v>
      </c>
      <c r="M14" s="159" t="n">
        <f aca="false">(L14-J14)/30</f>
        <v>0.00273333333333334</v>
      </c>
    </row>
    <row collapsed="false" customFormat="false" customHeight="false" hidden="false" ht="14.25" outlineLevel="0" r="15">
      <c r="A15" s="65" t="n">
        <v>0.808</v>
      </c>
      <c r="B15" s="0" t="n">
        <v>-31</v>
      </c>
      <c r="C15" s="0" t="n">
        <v>-31</v>
      </c>
      <c r="D15" s="86" t="n">
        <v>0.719</v>
      </c>
      <c r="E15" s="147" t="n">
        <v>234.8</v>
      </c>
      <c r="F15" s="147" t="n">
        <v>160.18</v>
      </c>
      <c r="G15" s="147" t="n">
        <v>378.54</v>
      </c>
      <c r="H15" s="157" t="n">
        <f aca="false">($I15-$G15)/(130-$C15)</f>
        <v>0.888329041054385</v>
      </c>
      <c r="I15" s="147" t="n">
        <v>521.560975609756</v>
      </c>
      <c r="J15" s="147" t="n">
        <v>1.761</v>
      </c>
      <c r="K15" s="158" t="n">
        <f aca="false">C15+30</f>
        <v>-1</v>
      </c>
      <c r="L15" s="147" t="n">
        <v>1.847</v>
      </c>
      <c r="M15" s="159" t="n">
        <f aca="false">(L15-J15)/30</f>
        <v>0.00286666666666666</v>
      </c>
    </row>
    <row collapsed="false" customFormat="false" customHeight="false" hidden="false" ht="14.25" outlineLevel="0" r="16">
      <c r="A16" s="65" t="n">
        <v>0.848</v>
      </c>
      <c r="B16" s="0" t="n">
        <v>-30</v>
      </c>
      <c r="C16" s="0" t="n">
        <v>-30</v>
      </c>
      <c r="D16" s="86" t="n">
        <v>0.72</v>
      </c>
      <c r="E16" s="147" t="n">
        <v>224.55</v>
      </c>
      <c r="F16" s="147" t="n">
        <v>161.4</v>
      </c>
      <c r="G16" s="147" t="n">
        <v>379.18</v>
      </c>
      <c r="H16" s="157" t="n">
        <f aca="false">($I16-$G16)/(130-$C16)</f>
        <v>0.889576219512195</v>
      </c>
      <c r="I16" s="147" t="n">
        <v>521.512195121951</v>
      </c>
      <c r="J16" s="147" t="n">
        <v>1.76</v>
      </c>
      <c r="K16" s="158" t="n">
        <f aca="false">C16+30</f>
        <v>0</v>
      </c>
      <c r="L16" s="147" t="n">
        <v>1.85</v>
      </c>
      <c r="M16" s="159" t="n">
        <f aca="false">(L16-J16)/30</f>
        <v>0.003</v>
      </c>
    </row>
    <row collapsed="false" customFormat="false" customHeight="false" hidden="false" ht="14.25" outlineLevel="0" r="17">
      <c r="A17" s="65" t="n">
        <v>0.888</v>
      </c>
      <c r="B17" s="0" t="n">
        <v>-29</v>
      </c>
      <c r="C17" s="0" t="n">
        <v>-29</v>
      </c>
      <c r="D17" s="86" t="n">
        <v>0.722</v>
      </c>
      <c r="E17" s="147" t="n">
        <v>214.83</v>
      </c>
      <c r="F17" s="147" t="n">
        <v>162.63</v>
      </c>
      <c r="G17" s="147" t="n">
        <v>379.82</v>
      </c>
      <c r="H17" s="157" t="n">
        <f aca="false">($I17-$G17)/(130-$C17)</f>
        <v>0.890839085749348</v>
      </c>
      <c r="I17" s="147" t="n">
        <v>521.463414634146</v>
      </c>
      <c r="J17" s="147" t="n">
        <v>1.759</v>
      </c>
      <c r="K17" s="158" t="n">
        <f aca="false">C17+30</f>
        <v>1</v>
      </c>
      <c r="L17" s="147" t="n">
        <v>1.849</v>
      </c>
      <c r="M17" s="159" t="n">
        <f aca="false">(L17-J17)/30</f>
        <v>0.003</v>
      </c>
    </row>
    <row collapsed="false" customFormat="false" customHeight="false" hidden="false" ht="14.25" outlineLevel="0" r="18">
      <c r="A18" s="65" t="n">
        <v>0.931</v>
      </c>
      <c r="B18" s="0" t="n">
        <v>-28</v>
      </c>
      <c r="C18" s="0" t="n">
        <v>-28</v>
      </c>
      <c r="D18" s="86" t="n">
        <v>0.723</v>
      </c>
      <c r="E18" s="147" t="n">
        <v>205.61</v>
      </c>
      <c r="F18" s="147" t="n">
        <v>163.87</v>
      </c>
      <c r="G18" s="147" t="n">
        <v>380.45</v>
      </c>
      <c r="H18" s="157" t="n">
        <f aca="false">($I18-$G18)/(130-$C18)</f>
        <v>0.892181228774313</v>
      </c>
      <c r="I18" s="147" t="n">
        <v>521.414634146341</v>
      </c>
      <c r="J18" s="147" t="n">
        <v>1.758</v>
      </c>
      <c r="K18" s="158" t="n">
        <f aca="false">C18+30</f>
        <v>2</v>
      </c>
      <c r="L18" s="147" t="n">
        <v>1.848</v>
      </c>
      <c r="M18" s="159" t="n">
        <f aca="false">(L18-J18)/30</f>
        <v>0.003</v>
      </c>
    </row>
    <row collapsed="false" customFormat="false" customHeight="false" hidden="false" ht="14.25" outlineLevel="0" r="19">
      <c r="A19" s="65" t="n">
        <v>0.975</v>
      </c>
      <c r="B19" s="0" t="n">
        <v>-27</v>
      </c>
      <c r="C19" s="0" t="n">
        <v>-27</v>
      </c>
      <c r="D19" s="86" t="n">
        <v>0.725</v>
      </c>
      <c r="E19" s="147" t="n">
        <v>196.86</v>
      </c>
      <c r="F19" s="147" t="n">
        <v>165.1</v>
      </c>
      <c r="G19" s="147" t="n">
        <v>381.08</v>
      </c>
      <c r="H19" s="157" t="n">
        <f aca="false">($I19-$G19)/(130-$C19)</f>
        <v>0.893540469162654</v>
      </c>
      <c r="I19" s="147" t="n">
        <v>521.365853658537</v>
      </c>
      <c r="J19" s="147" t="n">
        <v>1.757</v>
      </c>
      <c r="K19" s="158" t="n">
        <f aca="false">C19+30</f>
        <v>3</v>
      </c>
      <c r="L19" s="147" t="n">
        <v>1.847</v>
      </c>
      <c r="M19" s="159" t="n">
        <f aca="false">(L19-J19)/30</f>
        <v>0.003</v>
      </c>
    </row>
    <row collapsed="false" customFormat="false" customHeight="false" hidden="false" ht="14.25" outlineLevel="0" r="20">
      <c r="A20" s="65" t="n">
        <v>1.02</v>
      </c>
      <c r="B20" s="0" t="n">
        <v>-26</v>
      </c>
      <c r="C20" s="0" t="n">
        <v>-26</v>
      </c>
      <c r="D20" s="86" t="n">
        <v>0.726</v>
      </c>
      <c r="E20" s="147" t="n">
        <v>188.56</v>
      </c>
      <c r="F20" s="147" t="n">
        <v>166.35</v>
      </c>
      <c r="G20" s="147" t="n">
        <v>381.71</v>
      </c>
      <c r="H20" s="157" t="n">
        <f aca="false">($I20-$G20)/(130-$C20)</f>
        <v>0.894917135709819</v>
      </c>
      <c r="I20" s="147" t="n">
        <v>521.317073170732</v>
      </c>
      <c r="J20" s="147" t="n">
        <v>1.756</v>
      </c>
      <c r="K20" s="158" t="n">
        <f aca="false">C20+30</f>
        <v>4</v>
      </c>
      <c r="L20" s="147" t="n">
        <v>1.846</v>
      </c>
      <c r="M20" s="159" t="n">
        <f aca="false">(L20-J20)/30</f>
        <v>0.003</v>
      </c>
    </row>
    <row collapsed="false" customFormat="false" customHeight="false" hidden="false" ht="14.25" outlineLevel="0" r="21">
      <c r="A21" s="65" t="n">
        <v>1.067</v>
      </c>
      <c r="B21" s="0" t="n">
        <v>-25</v>
      </c>
      <c r="C21" s="0" t="n">
        <v>-25</v>
      </c>
      <c r="D21" s="86" t="n">
        <v>0.728</v>
      </c>
      <c r="E21" s="147" t="n">
        <v>180.67</v>
      </c>
      <c r="F21" s="147" t="n">
        <v>167.59</v>
      </c>
      <c r="G21" s="147" t="n">
        <v>382.34</v>
      </c>
      <c r="H21" s="157" t="n">
        <f aca="false">($I21-$G21)/(130-$C21)</f>
        <v>0.896311565696302</v>
      </c>
      <c r="I21" s="147" t="n">
        <v>521.268292682927</v>
      </c>
      <c r="J21" s="147" t="n">
        <v>1.755</v>
      </c>
      <c r="K21" s="158" t="n">
        <f aca="false">C21+30</f>
        <v>5</v>
      </c>
      <c r="L21" s="147" t="n">
        <v>1.845</v>
      </c>
      <c r="M21" s="159" t="n">
        <f aca="false">(L21-J21)/30</f>
        <v>0.003</v>
      </c>
    </row>
    <row collapsed="false" customFormat="false" customHeight="false" hidden="false" ht="14.25" outlineLevel="0" r="22">
      <c r="A22" s="65" t="n">
        <v>1.116</v>
      </c>
      <c r="B22" s="0" t="n">
        <v>-24</v>
      </c>
      <c r="C22" s="0" t="n">
        <v>-24</v>
      </c>
      <c r="D22" s="86" t="n">
        <v>0.73</v>
      </c>
      <c r="E22" s="147" t="n">
        <v>173.18</v>
      </c>
      <c r="F22" s="147" t="n">
        <v>168.84</v>
      </c>
      <c r="G22" s="147" t="n">
        <v>382.97</v>
      </c>
      <c r="H22" s="157" t="n">
        <f aca="false">($I22-$G22)/(130-$C22)</f>
        <v>0.897724105163129</v>
      </c>
      <c r="I22" s="147" t="n">
        <v>521.219512195122</v>
      </c>
      <c r="J22" s="147" t="n">
        <v>1.754</v>
      </c>
      <c r="K22" s="158" t="n">
        <f aca="false">C22+30</f>
        <v>6</v>
      </c>
      <c r="L22" s="147" t="n">
        <v>1.844</v>
      </c>
      <c r="M22" s="159" t="n">
        <f aca="false">(L22-J22)/30</f>
        <v>0.003</v>
      </c>
    </row>
    <row collapsed="false" customFormat="false" customHeight="false" hidden="false" ht="14.25" outlineLevel="0" r="23">
      <c r="A23" s="65" t="n">
        <v>1.167</v>
      </c>
      <c r="B23" s="0" t="n">
        <v>-23</v>
      </c>
      <c r="C23" s="0" t="n">
        <v>-23</v>
      </c>
      <c r="D23" s="86" t="n">
        <v>0.731</v>
      </c>
      <c r="E23" s="147" t="n">
        <v>166.06</v>
      </c>
      <c r="F23" s="147" t="n">
        <v>170.1</v>
      </c>
      <c r="G23" s="147" t="n">
        <v>383.6</v>
      </c>
      <c r="H23" s="157" t="n">
        <f aca="false">($I23-$G23)/(130-$C23)</f>
        <v>0.89915510919815</v>
      </c>
      <c r="I23" s="147" t="n">
        <v>521.170731707317</v>
      </c>
      <c r="J23" s="147" t="n">
        <v>1.753</v>
      </c>
      <c r="K23" s="158" t="n">
        <f aca="false">C23+30</f>
        <v>7</v>
      </c>
      <c r="L23" s="147" t="n">
        <v>1.843</v>
      </c>
      <c r="M23" s="159" t="n">
        <f aca="false">(L23-J23)/30</f>
        <v>0.003</v>
      </c>
    </row>
    <row collapsed="false" customFormat="false" customHeight="false" hidden="false" ht="14.25" outlineLevel="0" r="24">
      <c r="A24" s="65" t="n">
        <v>1.22</v>
      </c>
      <c r="B24" s="0" t="n">
        <v>-22</v>
      </c>
      <c r="C24" s="0" t="n">
        <v>-22</v>
      </c>
      <c r="D24" s="86" t="n">
        <v>0.733</v>
      </c>
      <c r="E24" s="147" t="n">
        <v>159.28</v>
      </c>
      <c r="F24" s="147" t="n">
        <v>171.36</v>
      </c>
      <c r="G24" s="147" t="n">
        <v>384.23</v>
      </c>
      <c r="H24" s="157" t="n">
        <f aca="false">($I24-$G24)/(130-$C24)</f>
        <v>0.900604942233633</v>
      </c>
      <c r="I24" s="147" t="n">
        <v>521.121951219512</v>
      </c>
      <c r="J24" s="147" t="n">
        <v>1.752</v>
      </c>
      <c r="K24" s="158" t="n">
        <f aca="false">C24+30</f>
        <v>8</v>
      </c>
      <c r="L24" s="147" t="n">
        <v>1.842</v>
      </c>
      <c r="M24" s="159" t="n">
        <f aca="false">(L24-J24)/30</f>
        <v>0.003</v>
      </c>
    </row>
    <row collapsed="false" customFormat="false" customHeight="false" hidden="false" ht="14.25" outlineLevel="0" r="25">
      <c r="A25" s="65" t="n">
        <v>1.274</v>
      </c>
      <c r="B25" s="0" t="n">
        <v>-21</v>
      </c>
      <c r="C25" s="0" t="n">
        <v>-21</v>
      </c>
      <c r="D25" s="86" t="n">
        <v>0.734</v>
      </c>
      <c r="E25" s="147" t="n">
        <v>152.84</v>
      </c>
      <c r="F25" s="147" t="n">
        <v>172.62</v>
      </c>
      <c r="G25" s="147" t="n">
        <v>384.85</v>
      </c>
      <c r="H25" s="157" t="n">
        <f aca="false">($I25-$G25)/(130-$C25)</f>
        <v>0.902140203521241</v>
      </c>
      <c r="I25" s="147" t="n">
        <v>521.073170731707</v>
      </c>
      <c r="J25" s="147" t="n">
        <v>1.751</v>
      </c>
      <c r="K25" s="158" t="n">
        <f aca="false">C25+30</f>
        <v>9</v>
      </c>
      <c r="L25" s="147" t="n">
        <v>1.841</v>
      </c>
      <c r="M25" s="159" t="n">
        <f aca="false">(L25-J25)/30</f>
        <v>0.003</v>
      </c>
    </row>
    <row collapsed="false" customFormat="false" customHeight="false" hidden="false" ht="14.25" outlineLevel="0" r="26">
      <c r="A26" s="65" t="n">
        <v>1.33</v>
      </c>
      <c r="B26" s="0" t="n">
        <v>-20</v>
      </c>
      <c r="C26" s="0" t="n">
        <v>-20</v>
      </c>
      <c r="D26" s="86" t="n">
        <v>0.736</v>
      </c>
      <c r="E26" s="147" t="n">
        <v>146.71</v>
      </c>
      <c r="F26" s="147" t="n">
        <v>173.88</v>
      </c>
      <c r="G26" s="147" t="n">
        <v>385.48</v>
      </c>
      <c r="H26" s="157" t="n">
        <f aca="false">($I26-$G26)/(130-$C26)</f>
        <v>0.903629268292683</v>
      </c>
      <c r="I26" s="147" t="n">
        <v>521.024390243902</v>
      </c>
      <c r="J26" s="147" t="n">
        <v>1.75</v>
      </c>
      <c r="K26" s="158" t="n">
        <f aca="false">C26+30</f>
        <v>10</v>
      </c>
      <c r="L26" s="147" t="n">
        <v>1.84</v>
      </c>
      <c r="M26" s="159" t="n">
        <f aca="false">(L26-J26)/30</f>
        <v>0.003</v>
      </c>
    </row>
    <row collapsed="false" customFormat="false" customHeight="false" hidden="false" ht="14.25" outlineLevel="0" r="27">
      <c r="A27" s="65" t="n">
        <v>1.389</v>
      </c>
      <c r="B27" s="0" t="n">
        <v>-19</v>
      </c>
      <c r="C27" s="0" t="n">
        <v>-19</v>
      </c>
      <c r="D27" s="86" t="n">
        <v>0.738</v>
      </c>
      <c r="E27" s="147" t="n">
        <v>140.87</v>
      </c>
      <c r="F27" s="147" t="n">
        <v>175.16</v>
      </c>
      <c r="G27" s="147" t="n">
        <v>386.1</v>
      </c>
      <c r="H27" s="157" t="n">
        <f aca="false">($I27-$G27)/(130-$C27)</f>
        <v>0.905205434604682</v>
      </c>
      <c r="I27" s="147" t="n">
        <v>520.975609756098</v>
      </c>
      <c r="J27" s="147" t="n">
        <v>1.749</v>
      </c>
      <c r="K27" s="158" t="n">
        <f aca="false">C27+30</f>
        <v>11</v>
      </c>
      <c r="L27" s="147" t="n">
        <v>1.839</v>
      </c>
      <c r="M27" s="159" t="n">
        <f aca="false">(L27-J27)/30</f>
        <v>0.003</v>
      </c>
    </row>
    <row collapsed="false" customFormat="false" customHeight="false" hidden="false" ht="14.25" outlineLevel="0" r="28">
      <c r="A28" s="65" t="n">
        <v>1.449</v>
      </c>
      <c r="B28" s="0" t="n">
        <v>-18</v>
      </c>
      <c r="C28" s="0" t="n">
        <v>-18</v>
      </c>
      <c r="D28" s="86" t="n">
        <v>0.739</v>
      </c>
      <c r="E28" s="147" t="n">
        <v>135.31</v>
      </c>
      <c r="F28" s="147" t="n">
        <v>176.43</v>
      </c>
      <c r="G28" s="147" t="n">
        <v>386.72</v>
      </c>
      <c r="H28" s="157" t="n">
        <f aca="false">($I28-$G28)/(130-$C28)</f>
        <v>0.906802900461437</v>
      </c>
      <c r="I28" s="147" t="n">
        <v>520.926829268293</v>
      </c>
      <c r="J28" s="147" t="n">
        <v>1.748</v>
      </c>
      <c r="K28" s="158" t="n">
        <f aca="false">C28+30</f>
        <v>12</v>
      </c>
      <c r="L28" s="147" t="n">
        <v>1.838</v>
      </c>
      <c r="M28" s="159" t="n">
        <f aca="false">(L28-J28)/30</f>
        <v>0.003</v>
      </c>
    </row>
    <row collapsed="false" customFormat="false" customHeight="false" hidden="false" ht="14.25" outlineLevel="0" r="29">
      <c r="A29" s="65" t="n">
        <v>1.511</v>
      </c>
      <c r="B29" s="0" t="n">
        <v>-17</v>
      </c>
      <c r="C29" s="0" t="n">
        <v>-17</v>
      </c>
      <c r="D29" s="86" t="n">
        <v>0.741</v>
      </c>
      <c r="E29" s="147" t="n">
        <v>130.01</v>
      </c>
      <c r="F29" s="147" t="n">
        <v>177.71</v>
      </c>
      <c r="G29" s="147" t="n">
        <v>387.34</v>
      </c>
      <c r="H29" s="157" t="n">
        <f aca="false">($I29-$G29)/(130-$C29)</f>
        <v>0.908422100547536</v>
      </c>
      <c r="I29" s="147" t="n">
        <v>520.878048780488</v>
      </c>
      <c r="J29" s="147" t="n">
        <v>1.747</v>
      </c>
      <c r="K29" s="158" t="n">
        <f aca="false">C29+30</f>
        <v>13</v>
      </c>
      <c r="L29" s="147" t="n">
        <v>1.837</v>
      </c>
      <c r="M29" s="159" t="n">
        <f aca="false">(L29-J29)/30</f>
        <v>0.003</v>
      </c>
    </row>
    <row collapsed="false" customFormat="false" customHeight="false" hidden="false" ht="14.25" outlineLevel="0" r="30">
      <c r="A30" s="65" t="n">
        <v>1.575</v>
      </c>
      <c r="B30" s="0" t="n">
        <v>-16</v>
      </c>
      <c r="C30" s="0" t="n">
        <v>-16</v>
      </c>
      <c r="D30" s="86" t="n">
        <v>0.743</v>
      </c>
      <c r="E30" s="147" t="n">
        <v>124.96</v>
      </c>
      <c r="F30" s="147" t="n">
        <v>178.99</v>
      </c>
      <c r="G30" s="147" t="n">
        <v>387.95</v>
      </c>
      <c r="H30" s="157" t="n">
        <f aca="false">($I30-$G30)/(130-$C30)</f>
        <v>0.910131974607418</v>
      </c>
      <c r="I30" s="147" t="n">
        <v>520.829268292683</v>
      </c>
      <c r="J30" s="147" t="n">
        <v>1.746</v>
      </c>
      <c r="K30" s="158" t="n">
        <f aca="false">C30+30</f>
        <v>14</v>
      </c>
      <c r="L30" s="147" t="n">
        <v>1.836</v>
      </c>
      <c r="M30" s="159" t="n">
        <f aca="false">(L30-J30)/30</f>
        <v>0.003</v>
      </c>
    </row>
    <row collapsed="false" customFormat="false" customHeight="false" hidden="false" ht="14.25" outlineLevel="0" r="31">
      <c r="A31" s="65" t="n">
        <v>1.642</v>
      </c>
      <c r="B31" s="0" t="n">
        <v>-15</v>
      </c>
      <c r="C31" s="0" t="n">
        <v>-15</v>
      </c>
      <c r="D31" s="86" t="n">
        <v>0.744</v>
      </c>
      <c r="E31" s="147" t="n">
        <v>120.15</v>
      </c>
      <c r="F31" s="147" t="n">
        <v>180.28</v>
      </c>
      <c r="G31" s="147" t="n">
        <v>388.57</v>
      </c>
      <c r="H31" s="157" t="n">
        <f aca="false">($I31-$G31)/(130-$C31)</f>
        <v>0.911796467619848</v>
      </c>
      <c r="I31" s="147" t="n">
        <v>520.780487804878</v>
      </c>
      <c r="J31" s="147" t="n">
        <v>1.745</v>
      </c>
      <c r="K31" s="158" t="n">
        <f aca="false">C31+30</f>
        <v>15</v>
      </c>
      <c r="L31" s="147" t="n">
        <v>1.835</v>
      </c>
      <c r="M31" s="159" t="n">
        <f aca="false">(L31-J31)/30</f>
        <v>0.003</v>
      </c>
    </row>
    <row collapsed="false" customFormat="false" customHeight="false" hidden="false" ht="14.25" outlineLevel="0" r="32">
      <c r="A32" s="65" t="n">
        <v>1.711</v>
      </c>
      <c r="B32" s="0" t="n">
        <v>-14</v>
      </c>
      <c r="C32" s="0" t="n">
        <v>-14</v>
      </c>
      <c r="D32" s="86" t="n">
        <v>0.746</v>
      </c>
      <c r="E32" s="147" t="n">
        <v>115.55</v>
      </c>
      <c r="F32" s="147" t="n">
        <v>181.57</v>
      </c>
      <c r="G32" s="147" t="n">
        <v>389.18</v>
      </c>
      <c r="H32" s="157" t="n">
        <f aca="false">($I32-$G32)/(130-$C32)</f>
        <v>0.91355352303523</v>
      </c>
      <c r="I32" s="147" t="n">
        <v>520.731707317073</v>
      </c>
      <c r="J32" s="147" t="n">
        <v>1.744</v>
      </c>
      <c r="K32" s="158" t="n">
        <f aca="false">C32+30</f>
        <v>16</v>
      </c>
      <c r="L32" s="147" t="n">
        <v>1.834</v>
      </c>
      <c r="M32" s="159" t="n">
        <f aca="false">(L32-J32)/30</f>
        <v>0.003</v>
      </c>
    </row>
    <row collapsed="false" customFormat="false" customHeight="false" hidden="false" ht="14.25" outlineLevel="0" r="33">
      <c r="A33" s="65" t="n">
        <v>1.781</v>
      </c>
      <c r="B33" s="0" t="n">
        <v>-13</v>
      </c>
      <c r="C33" s="0" t="n">
        <v>-13</v>
      </c>
      <c r="D33" s="86" t="n">
        <v>0.748</v>
      </c>
      <c r="E33" s="147" t="n">
        <v>111.17</v>
      </c>
      <c r="F33" s="147" t="n">
        <v>182.86</v>
      </c>
      <c r="G33" s="147" t="n">
        <v>389.79</v>
      </c>
      <c r="H33" s="157" t="n">
        <f aca="false">($I33-$G33)/(130-$C33)</f>
        <v>0.915335152652225</v>
      </c>
      <c r="I33" s="147" t="n">
        <v>520.682926829268</v>
      </c>
      <c r="J33" s="147" t="n">
        <v>1.743</v>
      </c>
      <c r="K33" s="158" t="n">
        <f aca="false">C33+30</f>
        <v>17</v>
      </c>
      <c r="L33" s="147" t="n">
        <v>1.833</v>
      </c>
      <c r="M33" s="159" t="n">
        <f aca="false">(L33-J33)/30</f>
        <v>0.003</v>
      </c>
    </row>
    <row collapsed="false" customFormat="false" customHeight="false" hidden="false" ht="14.25" outlineLevel="0" r="34">
      <c r="A34" s="65" t="n">
        <v>1.855</v>
      </c>
      <c r="B34" s="0" t="n">
        <v>-12</v>
      </c>
      <c r="C34" s="0" t="n">
        <v>-12</v>
      </c>
      <c r="D34" s="86" t="n">
        <v>0.75</v>
      </c>
      <c r="E34" s="147" t="n">
        <v>106.99</v>
      </c>
      <c r="F34" s="147" t="n">
        <v>184.16</v>
      </c>
      <c r="G34" s="147" t="n">
        <v>390.4</v>
      </c>
      <c r="H34" s="157" t="n">
        <f aca="false">($I34-$G34)/(130-$C34)</f>
        <v>0.917141875644109</v>
      </c>
      <c r="I34" s="147" t="n">
        <v>520.634146341463</v>
      </c>
      <c r="J34" s="147" t="n">
        <v>1.742</v>
      </c>
      <c r="K34" s="158" t="n">
        <f aca="false">C34+30</f>
        <v>18</v>
      </c>
      <c r="L34" s="147" t="n">
        <v>1.832</v>
      </c>
      <c r="M34" s="159" t="n">
        <f aca="false">(L34-J34)/30</f>
        <v>0.003</v>
      </c>
    </row>
    <row collapsed="false" customFormat="false" customHeight="false" hidden="false" ht="14.25" outlineLevel="0" r="35">
      <c r="A35" s="65" t="n">
        <v>1.93</v>
      </c>
      <c r="B35" s="0" t="n">
        <v>-11</v>
      </c>
      <c r="C35" s="0" t="n">
        <v>-11</v>
      </c>
      <c r="D35" s="86" t="n">
        <v>0.751</v>
      </c>
      <c r="E35" s="147" t="n">
        <v>102.99</v>
      </c>
      <c r="F35" s="147" t="n">
        <v>185.46</v>
      </c>
      <c r="G35" s="147" t="n">
        <v>391.01</v>
      </c>
      <c r="H35" s="157" t="n">
        <f aca="false">($I35-$G35)/(130-$C35)</f>
        <v>0.918974225912472</v>
      </c>
      <c r="I35" s="147" t="n">
        <v>520.585365853659</v>
      </c>
      <c r="J35" s="147" t="n">
        <v>1.741</v>
      </c>
      <c r="K35" s="158" t="n">
        <f aca="false">C35+30</f>
        <v>19</v>
      </c>
      <c r="L35" s="147" t="n">
        <v>1.831</v>
      </c>
      <c r="M35" s="159" t="n">
        <f aca="false">(L35-J35)/30</f>
        <v>0.003</v>
      </c>
    </row>
    <row collapsed="false" customFormat="false" customHeight="false" hidden="false" ht="14.25" outlineLevel="0" r="36">
      <c r="A36" s="65" t="n">
        <v>2.008</v>
      </c>
      <c r="B36" s="0" t="n">
        <v>-10</v>
      </c>
      <c r="C36" s="0" t="n">
        <v>-10</v>
      </c>
      <c r="D36" s="86" t="n">
        <v>0.753</v>
      </c>
      <c r="E36" s="147" t="n">
        <v>99.17</v>
      </c>
      <c r="F36" s="147" t="n">
        <v>186.76</v>
      </c>
      <c r="G36" s="147" t="n">
        <v>391.62</v>
      </c>
      <c r="H36" s="157" t="n">
        <f aca="false">($I36-$G36)/(130-$C36)</f>
        <v>0.92083275261324</v>
      </c>
      <c r="I36" s="147" t="n">
        <v>520.536585365854</v>
      </c>
      <c r="J36" s="147" t="n">
        <v>1.74</v>
      </c>
      <c r="K36" s="158" t="n">
        <f aca="false">C36+30</f>
        <v>20</v>
      </c>
      <c r="L36" s="147" t="n">
        <v>1.83</v>
      </c>
      <c r="M36" s="159" t="n">
        <f aca="false">(L36-J36)/30</f>
        <v>0.003</v>
      </c>
    </row>
    <row collapsed="false" customFormat="false" customHeight="false" hidden="false" ht="14.25" outlineLevel="0" r="37">
      <c r="A37" s="65" t="n">
        <v>2.088</v>
      </c>
      <c r="B37" s="0" t="n">
        <v>-9</v>
      </c>
      <c r="C37" s="0" t="n">
        <v>-9</v>
      </c>
      <c r="D37" s="86" t="n">
        <v>0.755</v>
      </c>
      <c r="E37" s="147" t="n">
        <v>95.52</v>
      </c>
      <c r="F37" s="147" t="n">
        <v>188.07</v>
      </c>
      <c r="G37" s="147" t="n">
        <v>392.22</v>
      </c>
      <c r="H37" s="157" t="n">
        <f aca="false">($I37-$G37)/(130-$C37)</f>
        <v>0.92278996315143</v>
      </c>
      <c r="I37" s="147" t="n">
        <v>520.487804878049</v>
      </c>
      <c r="J37" s="147" t="n">
        <v>1.739</v>
      </c>
      <c r="K37" s="158" t="n">
        <f aca="false">C37+30</f>
        <v>21</v>
      </c>
      <c r="L37" s="147" t="n">
        <v>1.829</v>
      </c>
      <c r="M37" s="159" t="n">
        <f aca="false">(L37-J37)/30</f>
        <v>0.003</v>
      </c>
    </row>
    <row collapsed="false" customFormat="false" customHeight="false" hidden="false" ht="14.25" outlineLevel="0" r="38">
      <c r="A38" s="65" t="n">
        <v>2.171</v>
      </c>
      <c r="B38" s="0" t="n">
        <v>-8</v>
      </c>
      <c r="C38" s="0" t="n">
        <v>-8</v>
      </c>
      <c r="D38" s="86" t="n">
        <v>0.757</v>
      </c>
      <c r="E38" s="147" t="n">
        <v>92.03</v>
      </c>
      <c r="F38" s="147" t="n">
        <v>189.38</v>
      </c>
      <c r="G38" s="147" t="n">
        <v>392.82</v>
      </c>
      <c r="H38" s="157" t="n">
        <f aca="false">($I38-$G38)/(130-$C38)</f>
        <v>0.924775539059738</v>
      </c>
      <c r="I38" s="147" t="n">
        <v>520.439024390244</v>
      </c>
      <c r="J38" s="147" t="n">
        <v>1.738</v>
      </c>
      <c r="K38" s="158" t="n">
        <f aca="false">C38+30</f>
        <v>22</v>
      </c>
      <c r="L38" s="147" t="n">
        <v>1.828</v>
      </c>
      <c r="M38" s="159" t="n">
        <f aca="false">(L38-J38)/30</f>
        <v>0.003</v>
      </c>
    </row>
    <row collapsed="false" customFormat="false" customHeight="false" hidden="false" ht="14.25" outlineLevel="0" r="39">
      <c r="A39" s="65" t="n">
        <v>2.256</v>
      </c>
      <c r="B39" s="0" t="n">
        <v>-7</v>
      </c>
      <c r="C39" s="0" t="n">
        <v>-7</v>
      </c>
      <c r="D39" s="86" t="n">
        <v>0.759</v>
      </c>
      <c r="E39" s="147" t="n">
        <v>88.7</v>
      </c>
      <c r="F39" s="147" t="n">
        <v>190.7</v>
      </c>
      <c r="G39" s="147" t="n">
        <v>393.42</v>
      </c>
      <c r="H39" s="157" t="n">
        <f aca="false">($I39-$G39)/(130-$C39)</f>
        <v>0.926790101477657</v>
      </c>
      <c r="I39" s="147" t="n">
        <v>520.390243902439</v>
      </c>
      <c r="J39" s="147" t="n">
        <v>1.737</v>
      </c>
      <c r="K39" s="158" t="n">
        <f aca="false">C39+30</f>
        <v>23</v>
      </c>
      <c r="L39" s="147" t="n">
        <v>1.827</v>
      </c>
      <c r="M39" s="159" t="n">
        <f aca="false">(L39-J39)/30</f>
        <v>0.003</v>
      </c>
    </row>
    <row collapsed="false" customFormat="false" customHeight="false" hidden="false" ht="14.25" outlineLevel="0" r="40">
      <c r="A40" s="65" t="n">
        <v>2.344</v>
      </c>
      <c r="B40" s="0" t="n">
        <v>-6</v>
      </c>
      <c r="C40" s="0" t="n">
        <v>-6</v>
      </c>
      <c r="D40" s="86" t="n">
        <v>0.76</v>
      </c>
      <c r="E40" s="147" t="n">
        <v>85.51</v>
      </c>
      <c r="F40" s="147" t="n">
        <v>192.02</v>
      </c>
      <c r="G40" s="147" t="n">
        <v>394.02</v>
      </c>
      <c r="H40" s="157" t="n">
        <f aca="false">($I40-$G40)/(130-$C40)</f>
        <v>0.928834289813487</v>
      </c>
      <c r="I40" s="147" t="n">
        <v>520.341463414634</v>
      </c>
      <c r="J40" s="147" t="n">
        <v>1.736</v>
      </c>
      <c r="K40" s="158" t="n">
        <f aca="false">C40+30</f>
        <v>24</v>
      </c>
      <c r="L40" s="147" t="n">
        <v>1.826</v>
      </c>
      <c r="M40" s="159" t="n">
        <f aca="false">(L40-J40)/30</f>
        <v>0.003</v>
      </c>
    </row>
    <row collapsed="false" customFormat="false" customHeight="false" hidden="false" ht="14.25" outlineLevel="0" r="41">
      <c r="A41" s="65" t="n">
        <v>2.435</v>
      </c>
      <c r="B41" s="0" t="n">
        <v>-5</v>
      </c>
      <c r="C41" s="0" t="n">
        <v>-5</v>
      </c>
      <c r="D41" s="86" t="n">
        <v>0.762</v>
      </c>
      <c r="E41" s="147" t="n">
        <v>82.45</v>
      </c>
      <c r="F41" s="147" t="n">
        <v>193.34</v>
      </c>
      <c r="G41" s="147" t="n">
        <v>394.62</v>
      </c>
      <c r="H41" s="157" t="n">
        <f aca="false">($I41-$G41)/(130-$C41)</f>
        <v>0.930908762420957</v>
      </c>
      <c r="I41" s="147" t="n">
        <v>520.292682926829</v>
      </c>
      <c r="J41" s="147" t="n">
        <v>1.735</v>
      </c>
      <c r="K41" s="158" t="n">
        <f aca="false">C41+30</f>
        <v>25</v>
      </c>
      <c r="L41" s="147" t="n">
        <v>1.825</v>
      </c>
      <c r="M41" s="159" t="n">
        <f aca="false">(L41-J41)/30</f>
        <v>0.003</v>
      </c>
    </row>
    <row collapsed="false" customFormat="false" customHeight="false" hidden="false" ht="14.25" outlineLevel="0" r="42">
      <c r="A42" s="65" t="n">
        <v>2.528</v>
      </c>
      <c r="B42" s="0" t="n">
        <v>-4</v>
      </c>
      <c r="C42" s="0" t="n">
        <v>-4</v>
      </c>
      <c r="D42" s="86" t="n">
        <v>0.764</v>
      </c>
      <c r="E42" s="147" t="n">
        <v>79.53</v>
      </c>
      <c r="F42" s="147" t="n">
        <v>194.66</v>
      </c>
      <c r="G42" s="147" t="n">
        <v>395.21</v>
      </c>
      <c r="H42" s="157" t="n">
        <f aca="false">($I42-$G42)/(130-$C42)</f>
        <v>0.933088824171824</v>
      </c>
      <c r="I42" s="147" t="n">
        <v>520.243902439024</v>
      </c>
      <c r="J42" s="147" t="n">
        <v>1.734</v>
      </c>
      <c r="K42" s="158" t="n">
        <f aca="false">C42+30</f>
        <v>26</v>
      </c>
      <c r="L42" s="147" t="n">
        <v>1.824</v>
      </c>
      <c r="M42" s="159" t="n">
        <f aca="false">(L42-J42)/30</f>
        <v>0.003</v>
      </c>
    </row>
    <row collapsed="false" customFormat="false" customHeight="false" hidden="false" ht="14.25" outlineLevel="0" r="43">
      <c r="A43" s="65" t="n">
        <v>2.624</v>
      </c>
      <c r="B43" s="0" t="n">
        <v>-3</v>
      </c>
      <c r="C43" s="0" t="n">
        <v>-3</v>
      </c>
      <c r="D43" s="86" t="n">
        <v>0.766</v>
      </c>
      <c r="E43" s="147" t="n">
        <v>76.73</v>
      </c>
      <c r="F43" s="147" t="n">
        <v>195.99</v>
      </c>
      <c r="G43" s="147" t="n">
        <v>395.8</v>
      </c>
      <c r="H43" s="157" t="n">
        <f aca="false">($I43-$G43)/(130-$C43)</f>
        <v>0.935301668806162</v>
      </c>
      <c r="I43" s="147" t="n">
        <v>520.19512195122</v>
      </c>
      <c r="J43" s="147" t="n">
        <v>1.733</v>
      </c>
      <c r="K43" s="158" t="n">
        <f aca="false">C43+30</f>
        <v>27</v>
      </c>
      <c r="L43" s="147" t="n">
        <v>1.823</v>
      </c>
      <c r="M43" s="159" t="n">
        <f aca="false">(L43-J43)/30</f>
        <v>0.003</v>
      </c>
    </row>
    <row collapsed="false" customFormat="false" customHeight="false" hidden="false" ht="14.25" outlineLevel="0" r="44">
      <c r="A44" s="65" t="n">
        <v>2.723</v>
      </c>
      <c r="B44" s="0" t="n">
        <v>-2</v>
      </c>
      <c r="C44" s="0" t="n">
        <v>-2</v>
      </c>
      <c r="D44" s="86" t="n">
        <v>0.768</v>
      </c>
      <c r="E44" s="147" t="n">
        <v>74.04</v>
      </c>
      <c r="F44" s="147" t="n">
        <v>197.33</v>
      </c>
      <c r="G44" s="147" t="n">
        <v>396.39</v>
      </c>
      <c r="H44" s="157" t="n">
        <f aca="false">($I44-$G44)/(130-$C44)</f>
        <v>0.937548041389505</v>
      </c>
      <c r="I44" s="147" t="n">
        <v>520.146341463415</v>
      </c>
      <c r="J44" s="147" t="n">
        <v>1.732</v>
      </c>
      <c r="K44" s="158" t="n">
        <f aca="false">C44+30</f>
        <v>28</v>
      </c>
      <c r="L44" s="147" t="n">
        <v>1.822</v>
      </c>
      <c r="M44" s="159" t="n">
        <f aca="false">(L44-J44)/30</f>
        <v>0.003</v>
      </c>
    </row>
    <row collapsed="false" customFormat="false" customHeight="false" hidden="false" ht="14.25" outlineLevel="0" r="45">
      <c r="A45" s="65" t="n">
        <v>2.825</v>
      </c>
      <c r="B45" s="0" t="n">
        <v>-1</v>
      </c>
      <c r="C45" s="0" t="n">
        <v>-1</v>
      </c>
      <c r="D45" s="86" t="n">
        <v>0.77</v>
      </c>
      <c r="E45" s="147" t="n">
        <v>71.47</v>
      </c>
      <c r="F45" s="147" t="n">
        <v>198.66</v>
      </c>
      <c r="G45" s="147" t="n">
        <v>396.98</v>
      </c>
      <c r="H45" s="157" t="n">
        <f aca="false">($I45-$G45)/(130-$C45)</f>
        <v>0.939828709737479</v>
      </c>
      <c r="I45" s="147" t="n">
        <v>520.09756097561</v>
      </c>
      <c r="J45" s="147" t="n">
        <v>1.731</v>
      </c>
      <c r="K45" s="158" t="n">
        <f aca="false">C45+30</f>
        <v>29</v>
      </c>
      <c r="L45" s="147" t="n">
        <v>1.821</v>
      </c>
      <c r="M45" s="159" t="n">
        <f aca="false">(L45-J45)/30</f>
        <v>0.003</v>
      </c>
    </row>
    <row collapsed="false" customFormat="false" customHeight="false" hidden="false" ht="14.25" outlineLevel="0" r="46">
      <c r="A46" s="65" t="n">
        <v>2.929</v>
      </c>
      <c r="B46" s="0" t="n">
        <v>0</v>
      </c>
      <c r="C46" s="0" t="n">
        <v>0</v>
      </c>
      <c r="D46" s="86" t="n">
        <v>0.772</v>
      </c>
      <c r="E46" s="147" t="n">
        <v>69.01</v>
      </c>
      <c r="F46" s="147" t="n">
        <v>200</v>
      </c>
      <c r="G46" s="147" t="n">
        <v>397.56</v>
      </c>
      <c r="H46" s="157" t="n">
        <f aca="false">($I46-$G46)/(130-$C46)</f>
        <v>0.942221388367729</v>
      </c>
      <c r="I46" s="147" t="n">
        <v>520.048780487805</v>
      </c>
      <c r="J46" s="147" t="n">
        <v>1.73</v>
      </c>
      <c r="K46" s="158" t="n">
        <f aca="false">C46+30</f>
        <v>30</v>
      </c>
      <c r="L46" s="147" t="n">
        <v>1.82</v>
      </c>
      <c r="M46" s="159" t="n">
        <f aca="false">(L46-J46)/30</f>
        <v>0.003</v>
      </c>
    </row>
    <row collapsed="false" customFormat="false" customHeight="false" hidden="false" ht="14.25" outlineLevel="0" r="47">
      <c r="A47" s="65" t="n">
        <v>3.037</v>
      </c>
      <c r="B47" s="0" t="n">
        <v>1</v>
      </c>
      <c r="C47" s="0" t="n">
        <v>1</v>
      </c>
      <c r="D47" s="86" t="n">
        <v>0.774</v>
      </c>
      <c r="E47" s="147" t="n">
        <v>66.65</v>
      </c>
      <c r="F47" s="147" t="n">
        <v>201.34</v>
      </c>
      <c r="G47" s="147" t="n">
        <v>398.14</v>
      </c>
      <c r="H47" s="157" t="n">
        <f aca="false">($I47-$G47)/(130-$C47)</f>
        <v>0.944651162790698</v>
      </c>
      <c r="I47" s="147" t="n">
        <v>520</v>
      </c>
      <c r="J47" s="147" t="n">
        <v>1.73</v>
      </c>
      <c r="K47" s="158" t="n">
        <f aca="false">C47+30</f>
        <v>31</v>
      </c>
      <c r="L47" s="147" t="n">
        <v>1.82</v>
      </c>
      <c r="M47" s="159" t="n">
        <f aca="false">(L47-J47)/30</f>
        <v>0.003</v>
      </c>
    </row>
    <row collapsed="false" customFormat="false" customHeight="false" hidden="false" ht="14.25" outlineLevel="0" r="48">
      <c r="A48" s="65" t="n">
        <v>3.147</v>
      </c>
      <c r="B48" s="0" t="n">
        <v>2</v>
      </c>
      <c r="C48" s="0" t="n">
        <v>2</v>
      </c>
      <c r="D48" s="86" t="n">
        <v>0.776</v>
      </c>
      <c r="E48" s="147" t="n">
        <v>64.38</v>
      </c>
      <c r="F48" s="147" t="n">
        <v>202.69</v>
      </c>
      <c r="G48" s="147" t="n">
        <v>398.72</v>
      </c>
      <c r="H48" s="157" t="n">
        <f aca="false">($I48-$G48)/(130-$C48)</f>
        <v>0.946979166666666</v>
      </c>
      <c r="I48" s="147" t="n">
        <v>519.933333333333</v>
      </c>
      <c r="J48" s="147" t="n">
        <v>1.73</v>
      </c>
      <c r="K48" s="158" t="n">
        <f aca="false">C48+30</f>
        <v>32</v>
      </c>
      <c r="L48" s="147" t="n">
        <v>1.82</v>
      </c>
      <c r="M48" s="159" t="n">
        <f aca="false">(L48-J48)/30</f>
        <v>0.003</v>
      </c>
    </row>
    <row collapsed="false" customFormat="false" customHeight="false" hidden="false" ht="14.25" outlineLevel="0" r="49">
      <c r="A49" s="65" t="n">
        <v>3.261</v>
      </c>
      <c r="B49" s="0" t="n">
        <v>3</v>
      </c>
      <c r="C49" s="0" t="n">
        <v>3</v>
      </c>
      <c r="D49" s="86" t="n">
        <v>0.778</v>
      </c>
      <c r="E49" s="147" t="n">
        <v>62.21</v>
      </c>
      <c r="F49" s="147" t="n">
        <v>204.04</v>
      </c>
      <c r="G49" s="147" t="n">
        <v>399.3</v>
      </c>
      <c r="H49" s="157" t="n">
        <f aca="false">($I49-$G49)/(130-$C49)</f>
        <v>0.949343832020997</v>
      </c>
      <c r="I49" s="147" t="n">
        <v>519.866666666667</v>
      </c>
      <c r="J49" s="147" t="n">
        <v>1.73</v>
      </c>
      <c r="K49" s="158" t="n">
        <f aca="false">C49+30</f>
        <v>33</v>
      </c>
      <c r="L49" s="147" t="n">
        <v>1.82</v>
      </c>
      <c r="M49" s="159" t="n">
        <f aca="false">(L49-J49)/30</f>
        <v>0.003</v>
      </c>
    </row>
    <row collapsed="false" customFormat="false" customHeight="false" hidden="false" ht="14.25" outlineLevel="0" r="50">
      <c r="A50" s="65" t="n">
        <v>3.377</v>
      </c>
      <c r="B50" s="0" t="n">
        <v>4</v>
      </c>
      <c r="C50" s="0" t="n">
        <v>4</v>
      </c>
      <c r="D50" s="86" t="n">
        <v>0.78</v>
      </c>
      <c r="E50" s="147" t="n">
        <v>60.12</v>
      </c>
      <c r="F50" s="147" t="n">
        <v>205.39</v>
      </c>
      <c r="G50" s="147" t="n">
        <v>399.87</v>
      </c>
      <c r="H50" s="157" t="n">
        <f aca="false">($I50-$G50)/(130-$C50)</f>
        <v>0.951825396825396</v>
      </c>
      <c r="I50" s="147" t="n">
        <v>519.8</v>
      </c>
      <c r="J50" s="147" t="n">
        <v>1.73</v>
      </c>
      <c r="K50" s="158" t="n">
        <f aca="false">C50+30</f>
        <v>34</v>
      </c>
      <c r="L50" s="147" t="n">
        <v>1.82</v>
      </c>
      <c r="M50" s="159" t="n">
        <f aca="false">(L50-J50)/30</f>
        <v>0.003</v>
      </c>
    </row>
    <row collapsed="false" customFormat="false" customHeight="false" hidden="false" ht="14.25" outlineLevel="0" r="51">
      <c r="A51" s="65" t="n">
        <v>3.497</v>
      </c>
      <c r="B51" s="0" t="n">
        <v>5</v>
      </c>
      <c r="C51" s="0" t="n">
        <v>5</v>
      </c>
      <c r="D51" s="86" t="n">
        <v>0.782</v>
      </c>
      <c r="E51" s="147" t="n">
        <v>58.11</v>
      </c>
      <c r="F51" s="147" t="n">
        <v>206.74</v>
      </c>
      <c r="G51" s="147" t="n">
        <v>400.44</v>
      </c>
      <c r="H51" s="157" t="n">
        <f aca="false">($I51-$G51)/(130-$C51)</f>
        <v>0.954346666666667</v>
      </c>
      <c r="I51" s="147" t="n">
        <v>519.733333333333</v>
      </c>
      <c r="J51" s="147" t="n">
        <v>1.73</v>
      </c>
      <c r="K51" s="158" t="n">
        <f aca="false">C51+30</f>
        <v>35</v>
      </c>
      <c r="L51" s="147" t="n">
        <v>1.82</v>
      </c>
      <c r="M51" s="159" t="n">
        <f aca="false">(L51-J51)/30</f>
        <v>0.003</v>
      </c>
    </row>
    <row collapsed="false" customFormat="false" customHeight="false" hidden="false" ht="14.25" outlineLevel="0" r="52">
      <c r="A52" s="65" t="n">
        <v>3.62</v>
      </c>
      <c r="B52" s="0" t="n">
        <v>6</v>
      </c>
      <c r="C52" s="0" t="n">
        <v>6</v>
      </c>
      <c r="D52" s="86" t="n">
        <v>0.784</v>
      </c>
      <c r="E52" s="147" t="n">
        <v>56.19</v>
      </c>
      <c r="F52" s="147" t="n">
        <v>208.1</v>
      </c>
      <c r="G52" s="147" t="n">
        <v>401.01</v>
      </c>
      <c r="H52" s="157" t="n">
        <f aca="false">($I52-$G52)/(130-$C52)</f>
        <v>0.956908602150537</v>
      </c>
      <c r="I52" s="147" t="n">
        <v>519.666666666667</v>
      </c>
      <c r="J52" s="147" t="n">
        <v>1.73</v>
      </c>
      <c r="K52" s="158" t="n">
        <f aca="false">C52+30</f>
        <v>36</v>
      </c>
      <c r="L52" s="147" t="n">
        <v>1.82</v>
      </c>
      <c r="M52" s="159" t="n">
        <f aca="false">(L52-J52)/30</f>
        <v>0.003</v>
      </c>
    </row>
    <row collapsed="false" customFormat="false" customHeight="false" hidden="false" ht="14.25" outlineLevel="0" r="53">
      <c r="A53" s="65" t="n">
        <v>3.747</v>
      </c>
      <c r="B53" s="0" t="n">
        <v>7</v>
      </c>
      <c r="C53" s="0" t="n">
        <v>7</v>
      </c>
      <c r="D53" s="86" t="n">
        <v>0.786</v>
      </c>
      <c r="E53" s="147" t="n">
        <v>54.34</v>
      </c>
      <c r="F53" s="147" t="n">
        <v>209.46</v>
      </c>
      <c r="G53" s="147" t="n">
        <v>401.58</v>
      </c>
      <c r="H53" s="157" t="n">
        <f aca="false">($I53-$G53)/(130-$C53)</f>
        <v>0.959512195121951</v>
      </c>
      <c r="I53" s="147" t="n">
        <v>519.6</v>
      </c>
      <c r="J53" s="147" t="n">
        <v>1.73</v>
      </c>
      <c r="K53" s="158" t="n">
        <f aca="false">C53+30</f>
        <v>37</v>
      </c>
      <c r="L53" s="147" t="n">
        <v>1.82</v>
      </c>
      <c r="M53" s="159" t="n">
        <f aca="false">(L53-J53)/30</f>
        <v>0.003</v>
      </c>
    </row>
    <row collapsed="false" customFormat="false" customHeight="false" hidden="false" ht="14.25" outlineLevel="0" r="54">
      <c r="A54" s="65" t="n">
        <v>3.876</v>
      </c>
      <c r="B54" s="0" t="n">
        <v>8</v>
      </c>
      <c r="C54" s="0" t="n">
        <v>8</v>
      </c>
      <c r="D54" s="86" t="n">
        <v>0.788</v>
      </c>
      <c r="E54" s="147" t="n">
        <v>52.56</v>
      </c>
      <c r="F54" s="147" t="n">
        <v>210.83</v>
      </c>
      <c r="G54" s="147" t="n">
        <v>402.14</v>
      </c>
      <c r="H54" s="157" t="n">
        <f aca="false">($I54-$G54)/(130-$C54)</f>
        <v>0.96224043715847</v>
      </c>
      <c r="I54" s="147" t="n">
        <v>519.533333333333</v>
      </c>
      <c r="J54" s="147" t="n">
        <v>1.73</v>
      </c>
      <c r="K54" s="158" t="n">
        <f aca="false">C54+30</f>
        <v>38</v>
      </c>
      <c r="L54" s="147" t="n">
        <v>1.82</v>
      </c>
      <c r="M54" s="159" t="n">
        <f aca="false">(L54-J54)/30</f>
        <v>0.003</v>
      </c>
    </row>
    <row collapsed="false" customFormat="false" customHeight="false" hidden="false" ht="14.25" outlineLevel="0" r="55">
      <c r="A55" s="65" t="n">
        <v>4.01</v>
      </c>
      <c r="B55" s="0" t="n">
        <v>9</v>
      </c>
      <c r="C55" s="0" t="n">
        <v>9</v>
      </c>
      <c r="D55" s="86" t="n">
        <v>0.79</v>
      </c>
      <c r="E55" s="147" t="n">
        <v>50.86</v>
      </c>
      <c r="F55" s="147" t="n">
        <v>212.2</v>
      </c>
      <c r="G55" s="147" t="n">
        <v>402.7</v>
      </c>
      <c r="H55" s="157" t="n">
        <f aca="false">($I55-$G55)/(130-$C55)</f>
        <v>0.965013774104684</v>
      </c>
      <c r="I55" s="147" t="n">
        <v>519.466666666667</v>
      </c>
      <c r="J55" s="147" t="n">
        <v>1.73</v>
      </c>
      <c r="K55" s="158" t="n">
        <f aca="false">C55+30</f>
        <v>39</v>
      </c>
      <c r="L55" s="147" t="n">
        <v>1.82</v>
      </c>
      <c r="M55" s="159" t="n">
        <f aca="false">(L55-J55)/30</f>
        <v>0.003</v>
      </c>
    </row>
    <row collapsed="false" customFormat="false" customHeight="false" hidden="false" ht="14.25" outlineLevel="0" r="56">
      <c r="A56" s="65" t="n">
        <v>4.146</v>
      </c>
      <c r="B56" s="0" t="n">
        <v>10</v>
      </c>
      <c r="C56" s="0" t="n">
        <v>10</v>
      </c>
      <c r="D56" s="86" t="n">
        <v>0.793</v>
      </c>
      <c r="E56" s="147" t="n">
        <v>49.22</v>
      </c>
      <c r="F56" s="147" t="n">
        <v>213.57</v>
      </c>
      <c r="G56" s="147" t="n">
        <v>403.26</v>
      </c>
      <c r="H56" s="157" t="n">
        <f aca="false">($I56-$G56)/(130-$C56)</f>
        <v>0.967833333333333</v>
      </c>
      <c r="I56" s="147" t="n">
        <v>519.4</v>
      </c>
      <c r="J56" s="147" t="n">
        <v>1.73</v>
      </c>
      <c r="K56" s="158" t="n">
        <f aca="false">C56+30</f>
        <v>40</v>
      </c>
      <c r="L56" s="147" t="n">
        <v>1.82</v>
      </c>
      <c r="M56" s="159" t="n">
        <f aca="false">(L56-J56)/30</f>
        <v>0.003</v>
      </c>
    </row>
    <row collapsed="false" customFormat="false" customHeight="false" hidden="false" ht="14.25" outlineLevel="0" r="57">
      <c r="A57" s="65" t="n">
        <v>4.286</v>
      </c>
      <c r="B57" s="0" t="n">
        <v>11</v>
      </c>
      <c r="C57" s="0" t="n">
        <v>11</v>
      </c>
      <c r="D57" s="86" t="n">
        <v>0.795</v>
      </c>
      <c r="E57" s="147" t="n">
        <v>47.64</v>
      </c>
      <c r="F57" s="147" t="n">
        <v>214.94</v>
      </c>
      <c r="G57" s="147" t="n">
        <v>403.81</v>
      </c>
      <c r="H57" s="157" t="n">
        <f aca="false">($I57-$G57)/(130-$C57)</f>
        <v>0.970784313725491</v>
      </c>
      <c r="I57" s="147" t="n">
        <v>519.333333333333</v>
      </c>
      <c r="J57" s="147" t="n">
        <v>1.729</v>
      </c>
      <c r="K57" s="158" t="n">
        <f aca="false">C57+30</f>
        <v>41</v>
      </c>
      <c r="L57" s="147" t="n">
        <v>1.819</v>
      </c>
      <c r="M57" s="159" t="n">
        <f aca="false">(L57-J57)/30</f>
        <v>0.003</v>
      </c>
    </row>
    <row collapsed="false" customFormat="false" customHeight="false" hidden="false" ht="14.25" outlineLevel="0" r="58">
      <c r="A58" s="65" t="n">
        <v>4.43</v>
      </c>
      <c r="B58" s="0" t="n">
        <v>12</v>
      </c>
      <c r="C58" s="0" t="n">
        <v>12</v>
      </c>
      <c r="D58" s="86" t="n">
        <v>0.797</v>
      </c>
      <c r="E58" s="147" t="n">
        <v>46.12</v>
      </c>
      <c r="F58" s="147" t="n">
        <v>216.32</v>
      </c>
      <c r="G58" s="147" t="n">
        <v>404.36</v>
      </c>
      <c r="H58" s="157" t="n">
        <f aca="false">($I58-$G58)/(130-$C58)</f>
        <v>0.973785310734463</v>
      </c>
      <c r="I58" s="147" t="n">
        <v>519.266666666667</v>
      </c>
      <c r="J58" s="147" t="n">
        <v>1.728</v>
      </c>
      <c r="K58" s="158" t="n">
        <f aca="false">C58+30</f>
        <v>42</v>
      </c>
      <c r="L58" s="147" t="n">
        <v>1.818</v>
      </c>
      <c r="M58" s="159" t="n">
        <f aca="false">(L58-J58)/30</f>
        <v>0.003</v>
      </c>
    </row>
    <row collapsed="false" customFormat="false" customHeight="false" hidden="false" ht="14.25" outlineLevel="0" r="59">
      <c r="A59" s="65" t="n">
        <v>4.577</v>
      </c>
      <c r="B59" s="0" t="n">
        <v>13</v>
      </c>
      <c r="C59" s="0" t="n">
        <v>13</v>
      </c>
      <c r="D59" s="86" t="n">
        <v>0.799</v>
      </c>
      <c r="E59" s="147" t="n">
        <v>44.66</v>
      </c>
      <c r="F59" s="147" t="n">
        <v>217.7</v>
      </c>
      <c r="G59" s="147" t="n">
        <v>404.91</v>
      </c>
      <c r="H59" s="157" t="n">
        <f aca="false">($I59-$G59)/(130-$C59)</f>
        <v>0.976837606837607</v>
      </c>
      <c r="I59" s="147" t="n">
        <v>519.2</v>
      </c>
      <c r="J59" s="147" t="n">
        <v>1.727</v>
      </c>
      <c r="K59" s="158" t="n">
        <f aca="false">C59+30</f>
        <v>43</v>
      </c>
      <c r="L59" s="147" t="n">
        <v>1.817</v>
      </c>
      <c r="M59" s="159" t="n">
        <f aca="false">(L59-J59)/30</f>
        <v>0.003</v>
      </c>
    </row>
    <row collapsed="false" customFormat="false" customHeight="false" hidden="false" ht="14.25" outlineLevel="0" r="60">
      <c r="A60" s="65" t="n">
        <v>4.728</v>
      </c>
      <c r="B60" s="0" t="n">
        <v>14</v>
      </c>
      <c r="C60" s="0" t="n">
        <v>14</v>
      </c>
      <c r="D60" s="86" t="n">
        <v>0.801</v>
      </c>
      <c r="E60" s="147" t="n">
        <v>43.25</v>
      </c>
      <c r="F60" s="147" t="n">
        <v>219.08</v>
      </c>
      <c r="G60" s="147" t="n">
        <v>405.46</v>
      </c>
      <c r="H60" s="157" t="n">
        <f aca="false">($I60-$G60)/(130-$C60)</f>
        <v>0.979942528735632</v>
      </c>
      <c r="I60" s="147" t="n">
        <v>519.133333333333</v>
      </c>
      <c r="J60" s="147" t="n">
        <v>1.726</v>
      </c>
      <c r="K60" s="158" t="n">
        <f aca="false">C60+30</f>
        <v>44</v>
      </c>
      <c r="L60" s="147" t="n">
        <v>1.816</v>
      </c>
      <c r="M60" s="159" t="n">
        <f aca="false">(L60-J60)/30</f>
        <v>0.003</v>
      </c>
    </row>
    <row collapsed="false" customFormat="false" customHeight="false" hidden="false" ht="14.25" outlineLevel="0" r="61">
      <c r="A61" s="65" t="n">
        <v>4.883</v>
      </c>
      <c r="B61" s="0" t="n">
        <v>15</v>
      </c>
      <c r="C61" s="0" t="n">
        <v>15</v>
      </c>
      <c r="D61" s="86" t="n">
        <v>0.804</v>
      </c>
      <c r="E61" s="147" t="n">
        <v>41.89</v>
      </c>
      <c r="F61" s="147" t="n">
        <v>220.46</v>
      </c>
      <c r="G61" s="147" t="n">
        <v>406</v>
      </c>
      <c r="H61" s="157" t="n">
        <f aca="false">($I61-$G61)/(130-$C61)</f>
        <v>0.983188405797102</v>
      </c>
      <c r="I61" s="147" t="n">
        <v>519.066666666667</v>
      </c>
      <c r="J61" s="147" t="n">
        <v>1.725</v>
      </c>
      <c r="K61" s="158" t="n">
        <f aca="false">C61+30</f>
        <v>45</v>
      </c>
      <c r="L61" s="147" t="n">
        <v>1.815</v>
      </c>
      <c r="M61" s="159" t="n">
        <f aca="false">(L61-J61)/30</f>
        <v>0.003</v>
      </c>
    </row>
    <row collapsed="false" customFormat="false" customHeight="false" hidden="false" ht="14.25" outlineLevel="0" r="62">
      <c r="A62" s="65" t="n">
        <v>5.042</v>
      </c>
      <c r="B62" s="0" t="n">
        <v>16</v>
      </c>
      <c r="C62" s="0" t="n">
        <v>16</v>
      </c>
      <c r="D62" s="86" t="n">
        <v>0.806</v>
      </c>
      <c r="E62" s="147" t="n">
        <v>40.59</v>
      </c>
      <c r="F62" s="147" t="n">
        <v>221.85</v>
      </c>
      <c r="G62" s="147" t="n">
        <v>406.54</v>
      </c>
      <c r="H62" s="157" t="n">
        <f aca="false">($I62-$G62)/(130-$C62)</f>
        <v>0.986491228070175</v>
      </c>
      <c r="I62" s="147" t="n">
        <v>519</v>
      </c>
      <c r="J62" s="147" t="n">
        <v>1.724</v>
      </c>
      <c r="K62" s="158" t="n">
        <f aca="false">C62+30</f>
        <v>46</v>
      </c>
      <c r="L62" s="147" t="n">
        <v>1.814</v>
      </c>
      <c r="M62" s="159" t="n">
        <f aca="false">(L62-J62)/30</f>
        <v>0.003</v>
      </c>
    </row>
    <row collapsed="false" customFormat="false" customHeight="false" hidden="false" ht="14.25" outlineLevel="0" r="63">
      <c r="A63" s="65" t="n">
        <v>5.204</v>
      </c>
      <c r="B63" s="0" t="n">
        <v>17</v>
      </c>
      <c r="C63" s="0" t="n">
        <v>17</v>
      </c>
      <c r="D63" s="86" t="n">
        <v>0.808</v>
      </c>
      <c r="E63" s="147" t="n">
        <v>39.33</v>
      </c>
      <c r="F63" s="147" t="n">
        <v>223.24</v>
      </c>
      <c r="G63" s="147" t="n">
        <v>407.08</v>
      </c>
      <c r="H63" s="157" t="n">
        <f aca="false">($I63-$G63)/(130-$C63)</f>
        <v>0.989557522123894</v>
      </c>
      <c r="I63" s="147" t="n">
        <v>518.9</v>
      </c>
      <c r="J63" s="147" t="n">
        <v>1.723</v>
      </c>
      <c r="K63" s="158" t="n">
        <f aca="false">C63+30</f>
        <v>47</v>
      </c>
      <c r="L63" s="147" t="n">
        <v>1.813</v>
      </c>
      <c r="M63" s="159" t="n">
        <f aca="false">(L63-J63)/30</f>
        <v>0.003</v>
      </c>
    </row>
    <row collapsed="false" customFormat="false" customHeight="false" hidden="false" ht="14.25" outlineLevel="0" r="64">
      <c r="A64" s="65" t="n">
        <v>5.371</v>
      </c>
      <c r="B64" s="0" t="n">
        <v>18</v>
      </c>
      <c r="C64" s="0" t="n">
        <v>18</v>
      </c>
      <c r="D64" s="86" t="n">
        <v>0.811</v>
      </c>
      <c r="E64" s="147" t="n">
        <v>38.12</v>
      </c>
      <c r="F64" s="147" t="n">
        <v>224.64</v>
      </c>
      <c r="G64" s="147" t="n">
        <v>407.61</v>
      </c>
      <c r="H64" s="157" t="n">
        <f aca="false">($I64-$G64)/(130-$C64)</f>
        <v>0.992767857142857</v>
      </c>
      <c r="I64" s="147" t="n">
        <v>518.8</v>
      </c>
      <c r="J64" s="147" t="n">
        <v>1.722</v>
      </c>
      <c r="K64" s="158" t="n">
        <f aca="false">C64+30</f>
        <v>48</v>
      </c>
      <c r="L64" s="147" t="n">
        <v>1.812</v>
      </c>
      <c r="M64" s="159" t="n">
        <f aca="false">(L64-J64)/30</f>
        <v>0.003</v>
      </c>
    </row>
    <row collapsed="false" customFormat="false" customHeight="false" hidden="false" ht="14.25" outlineLevel="0" r="65">
      <c r="A65" s="65" t="n">
        <v>5.541</v>
      </c>
      <c r="B65" s="0" t="n">
        <v>19</v>
      </c>
      <c r="C65" s="0" t="n">
        <v>19</v>
      </c>
      <c r="D65" s="86" t="n">
        <v>0.813</v>
      </c>
      <c r="E65" s="147" t="n">
        <v>36.95</v>
      </c>
      <c r="F65" s="147" t="n">
        <v>226.04</v>
      </c>
      <c r="G65" s="147" t="n">
        <v>408.14</v>
      </c>
      <c r="H65" s="157" t="n">
        <f aca="false">($I65-$G65)/(130-$C65)</f>
        <v>0.996036036036037</v>
      </c>
      <c r="I65" s="147" t="n">
        <v>518.7</v>
      </c>
      <c r="J65" s="147" t="n">
        <v>1.721</v>
      </c>
      <c r="K65" s="158" t="n">
        <f aca="false">C65+30</f>
        <v>49</v>
      </c>
      <c r="L65" s="147" t="n">
        <v>1.811</v>
      </c>
      <c r="M65" s="159" t="n">
        <f aca="false">(L65-J65)/30</f>
        <v>0.003</v>
      </c>
    </row>
    <row collapsed="false" customFormat="false" customHeight="false" hidden="false" ht="14.25" outlineLevel="0" r="66">
      <c r="A66" s="65" t="n">
        <v>5.716</v>
      </c>
      <c r="B66" s="0" t="n">
        <v>20</v>
      </c>
      <c r="C66" s="0" t="n">
        <v>20</v>
      </c>
      <c r="D66" s="86" t="n">
        <v>0.816</v>
      </c>
      <c r="E66" s="147" t="n">
        <v>35.83</v>
      </c>
      <c r="F66" s="147" t="n">
        <v>227.44</v>
      </c>
      <c r="G66" s="147" t="n">
        <v>408.66</v>
      </c>
      <c r="H66" s="157" t="n">
        <f aca="false">($I66-$G66)/(130-$C66)</f>
        <v>0.999454545454545</v>
      </c>
      <c r="I66" s="147" t="n">
        <v>518.6</v>
      </c>
      <c r="J66" s="147" t="n">
        <v>1.72</v>
      </c>
      <c r="K66" s="158" t="n">
        <f aca="false">C66+30</f>
        <v>50</v>
      </c>
      <c r="L66" s="147" t="n">
        <v>1.81</v>
      </c>
      <c r="M66" s="159" t="n">
        <f aca="false">(L66-J66)/30</f>
        <v>0.003</v>
      </c>
    </row>
    <row collapsed="false" customFormat="false" customHeight="false" hidden="false" ht="14.25" outlineLevel="0" r="67">
      <c r="A67" s="65" t="n">
        <v>5.894</v>
      </c>
      <c r="B67" s="0" t="n">
        <v>21</v>
      </c>
      <c r="C67" s="0" t="n">
        <v>21</v>
      </c>
      <c r="D67" s="86" t="n">
        <v>0.818</v>
      </c>
      <c r="E67" s="147" t="n">
        <v>34.74</v>
      </c>
      <c r="F67" s="147" t="n">
        <v>228.84</v>
      </c>
      <c r="G67" s="147" t="n">
        <v>409.19</v>
      </c>
      <c r="H67" s="157" t="n">
        <f aca="false">($I67-$G67)/(130-$C67)</f>
        <v>1.00284403669725</v>
      </c>
      <c r="I67" s="147" t="n">
        <v>518.5</v>
      </c>
      <c r="J67" s="147" t="n">
        <v>1.72</v>
      </c>
      <c r="K67" s="158" t="n">
        <f aca="false">C67+30</f>
        <v>51</v>
      </c>
      <c r="L67" s="147" t="n">
        <v>1.81</v>
      </c>
      <c r="M67" s="159" t="n">
        <f aca="false">(L67-J67)/30</f>
        <v>0.003</v>
      </c>
    </row>
    <row collapsed="false" customFormat="false" customHeight="false" hidden="false" ht="14.25" outlineLevel="0" r="68">
      <c r="A68" s="65" t="n">
        <v>6.077</v>
      </c>
      <c r="B68" s="0" t="n">
        <v>22</v>
      </c>
      <c r="C68" s="0" t="n">
        <v>22</v>
      </c>
      <c r="D68" s="86" t="n">
        <v>0.821</v>
      </c>
      <c r="E68" s="147" t="n">
        <v>33.69</v>
      </c>
      <c r="F68" s="147" t="n">
        <v>230.25</v>
      </c>
      <c r="G68" s="147" t="n">
        <v>409.7</v>
      </c>
      <c r="H68" s="157" t="n">
        <f aca="false">($I68-$G68)/(130-$C68)</f>
        <v>1.00648148148148</v>
      </c>
      <c r="I68" s="147" t="n">
        <v>518.4</v>
      </c>
      <c r="J68" s="147" t="n">
        <v>1.72</v>
      </c>
      <c r="K68" s="158" t="n">
        <f aca="false">C68+30</f>
        <v>52</v>
      </c>
      <c r="L68" s="147" t="n">
        <v>1.81</v>
      </c>
      <c r="M68" s="159" t="n">
        <f aca="false">(L68-J68)/30</f>
        <v>0.003</v>
      </c>
    </row>
    <row collapsed="false" customFormat="false" customHeight="false" hidden="false" ht="14.25" outlineLevel="0" r="69">
      <c r="A69" s="65" t="n">
        <v>6.264</v>
      </c>
      <c r="B69" s="0" t="n">
        <v>23</v>
      </c>
      <c r="C69" s="0" t="n">
        <v>23</v>
      </c>
      <c r="D69" s="86" t="n">
        <v>0.823</v>
      </c>
      <c r="E69" s="147" t="n">
        <v>32.68</v>
      </c>
      <c r="F69" s="147" t="n">
        <v>231.65</v>
      </c>
      <c r="G69" s="147" t="n">
        <v>410.22</v>
      </c>
      <c r="H69" s="157" t="n">
        <f aca="false">($I69-$G69)/(130-$C69)</f>
        <v>1.01009345794392</v>
      </c>
      <c r="I69" s="147" t="n">
        <v>518.3</v>
      </c>
      <c r="J69" s="147" t="n">
        <v>1.72</v>
      </c>
      <c r="K69" s="158" t="n">
        <f aca="false">C69+30</f>
        <v>53</v>
      </c>
      <c r="L69" s="147" t="n">
        <v>1.81</v>
      </c>
      <c r="M69" s="159" t="n">
        <f aca="false">(L69-J69)/30</f>
        <v>0.003</v>
      </c>
    </row>
    <row collapsed="false" customFormat="false" customHeight="false" hidden="false" ht="14.25" outlineLevel="0" r="70">
      <c r="A70" s="65" t="n">
        <v>6.456</v>
      </c>
      <c r="B70" s="0" t="n">
        <v>24</v>
      </c>
      <c r="C70" s="0" t="n">
        <v>24</v>
      </c>
      <c r="D70" s="86" t="n">
        <v>0.826</v>
      </c>
      <c r="E70" s="147" t="n">
        <v>31.71</v>
      </c>
      <c r="F70" s="147" t="n">
        <v>233.07</v>
      </c>
      <c r="G70" s="147" t="n">
        <v>410.73</v>
      </c>
      <c r="H70" s="157" t="n">
        <f aca="false">($I70-$G70)/(130-$C70)</f>
        <v>1.0138679245283</v>
      </c>
      <c r="I70" s="147" t="n">
        <v>518.2</v>
      </c>
      <c r="J70" s="147" t="n">
        <v>1.72</v>
      </c>
      <c r="K70" s="158" t="n">
        <f aca="false">C70+30</f>
        <v>54</v>
      </c>
      <c r="L70" s="147" t="n">
        <v>1.81</v>
      </c>
      <c r="M70" s="159" t="n">
        <f aca="false">(L70-J70)/30</f>
        <v>0.003</v>
      </c>
    </row>
    <row collapsed="false" customFormat="false" customHeight="false" hidden="false" ht="14.25" outlineLevel="0" r="71">
      <c r="A71" s="65" t="n">
        <v>6.651</v>
      </c>
      <c r="B71" s="0" t="n">
        <v>25</v>
      </c>
      <c r="C71" s="0" t="n">
        <v>25</v>
      </c>
      <c r="D71" s="86" t="n">
        <v>0.828</v>
      </c>
      <c r="E71" s="147" t="n">
        <v>30.77</v>
      </c>
      <c r="F71" s="147" t="n">
        <v>234.48</v>
      </c>
      <c r="G71" s="147" t="n">
        <v>411.24</v>
      </c>
      <c r="H71" s="157" t="n">
        <f aca="false">($I71-$G71)/(130-$C71)</f>
        <v>1.01771428571429</v>
      </c>
      <c r="I71" s="147" t="n">
        <v>518.1</v>
      </c>
      <c r="J71" s="147" t="n">
        <v>1.72</v>
      </c>
      <c r="K71" s="158" t="n">
        <f aca="false">C71+30</f>
        <v>55</v>
      </c>
      <c r="L71" s="147" t="n">
        <v>1.81</v>
      </c>
      <c r="M71" s="159" t="n">
        <f aca="false">(L71-J71)/30</f>
        <v>0.003</v>
      </c>
    </row>
    <row collapsed="false" customFormat="false" customHeight="false" hidden="false" ht="14.25" outlineLevel="0" r="72">
      <c r="A72" s="65" t="n">
        <v>6.852</v>
      </c>
      <c r="B72" s="0" t="n">
        <v>26</v>
      </c>
      <c r="C72" s="0" t="n">
        <v>26</v>
      </c>
      <c r="D72" s="86" t="n">
        <v>0.831</v>
      </c>
      <c r="E72" s="147" t="n">
        <v>29.86</v>
      </c>
      <c r="F72" s="147" t="n">
        <v>235.9</v>
      </c>
      <c r="G72" s="147" t="n">
        <v>411.74</v>
      </c>
      <c r="H72" s="157" t="n">
        <f aca="false">($I72-$G72)/(130-$C72)</f>
        <v>1.02173076923077</v>
      </c>
      <c r="I72" s="147" t="n">
        <v>518</v>
      </c>
      <c r="J72" s="147" t="n">
        <v>1.72</v>
      </c>
      <c r="K72" s="158" t="n">
        <f aca="false">C72+30</f>
        <v>56</v>
      </c>
      <c r="L72" s="147" t="n">
        <v>1.81</v>
      </c>
      <c r="M72" s="159" t="n">
        <f aca="false">(L72-J72)/30</f>
        <v>0.003</v>
      </c>
    </row>
    <row collapsed="false" customFormat="false" customHeight="false" hidden="false" ht="14.25" outlineLevel="0" r="73">
      <c r="A73" s="65" t="n">
        <v>7.056</v>
      </c>
      <c r="B73" s="0" t="n">
        <v>27</v>
      </c>
      <c r="C73" s="0" t="n">
        <v>27</v>
      </c>
      <c r="D73" s="86" t="n">
        <v>0.833</v>
      </c>
      <c r="E73" s="147" t="n">
        <v>28.98</v>
      </c>
      <c r="F73" s="147" t="n">
        <v>237.32</v>
      </c>
      <c r="G73" s="147" t="n">
        <v>412.24</v>
      </c>
      <c r="H73" s="157" t="n">
        <f aca="false">($I73-$G73)/(130-$C73)</f>
        <v>1.02455563853622</v>
      </c>
      <c r="I73" s="147" t="n">
        <v>517.769230769231</v>
      </c>
      <c r="J73" s="147" t="n">
        <v>1.72</v>
      </c>
      <c r="K73" s="158" t="n">
        <f aca="false">C73+30</f>
        <v>57</v>
      </c>
      <c r="L73" s="147" t="n">
        <v>1.81</v>
      </c>
      <c r="M73" s="159" t="n">
        <f aca="false">(L73-J73)/30</f>
        <v>0.003</v>
      </c>
    </row>
    <row collapsed="false" customFormat="false" customHeight="false" hidden="false" ht="14.25" outlineLevel="0" r="74">
      <c r="A74" s="65" t="n">
        <v>7.266</v>
      </c>
      <c r="B74" s="0" t="n">
        <v>28</v>
      </c>
      <c r="C74" s="0" t="n">
        <v>28</v>
      </c>
      <c r="D74" s="86" t="n">
        <v>0.836</v>
      </c>
      <c r="E74" s="147" t="n">
        <v>28.13</v>
      </c>
      <c r="F74" s="147" t="n">
        <v>238.75</v>
      </c>
      <c r="G74" s="147" t="n">
        <v>412.74</v>
      </c>
      <c r="H74" s="157" t="n">
        <f aca="false">($I74-$G74)/(130-$C74)</f>
        <v>1.0274358974359</v>
      </c>
      <c r="I74" s="147" t="n">
        <v>517.538461538462</v>
      </c>
      <c r="J74" s="147" t="n">
        <v>1.72</v>
      </c>
      <c r="K74" s="158" t="n">
        <f aca="false">C74+30</f>
        <v>58</v>
      </c>
      <c r="L74" s="147" t="n">
        <v>1.81</v>
      </c>
      <c r="M74" s="159" t="n">
        <f aca="false">(L74-J74)/30</f>
        <v>0.003</v>
      </c>
    </row>
    <row collapsed="false" customFormat="false" customHeight="false" hidden="false" ht="14.25" outlineLevel="0" r="75">
      <c r="A75" s="65" t="n">
        <v>7.48</v>
      </c>
      <c r="B75" s="0" t="n">
        <v>29</v>
      </c>
      <c r="C75" s="0" t="n">
        <v>29</v>
      </c>
      <c r="D75" s="86" t="n">
        <v>0.839</v>
      </c>
      <c r="E75" s="147" t="n">
        <v>27.31</v>
      </c>
      <c r="F75" s="147" t="n">
        <v>240.17</v>
      </c>
      <c r="G75" s="147" t="n">
        <v>413.23</v>
      </c>
      <c r="H75" s="157" t="n">
        <f aca="false">($I75-$G75)/(130-$C75)</f>
        <v>1.03047220106626</v>
      </c>
      <c r="I75" s="147" t="n">
        <v>517.307692307692</v>
      </c>
      <c r="J75" s="147" t="n">
        <v>1.72</v>
      </c>
      <c r="K75" s="158" t="n">
        <f aca="false">C75+30</f>
        <v>59</v>
      </c>
      <c r="L75" s="147" t="n">
        <v>1.81</v>
      </c>
      <c r="M75" s="159" t="n">
        <f aca="false">(L75-J75)/30</f>
        <v>0.003</v>
      </c>
    </row>
    <row collapsed="false" customFormat="false" customHeight="false" hidden="false" ht="14.25" outlineLevel="0" r="76">
      <c r="A76" s="147" t="n">
        <v>7.698</v>
      </c>
      <c r="B76" s="0" t="n">
        <v>30</v>
      </c>
      <c r="C76" s="0" t="n">
        <v>30</v>
      </c>
      <c r="D76" s="86" t="n">
        <v>0.842</v>
      </c>
      <c r="E76" s="147" t="n">
        <v>26.52</v>
      </c>
      <c r="F76" s="147" t="n">
        <v>241.61</v>
      </c>
      <c r="G76" s="147" t="n">
        <v>413.71</v>
      </c>
      <c r="H76" s="157" t="n">
        <f aca="false">($I76-$G76)/(130-$C76)</f>
        <v>1.03366923076923</v>
      </c>
      <c r="I76" s="147" t="n">
        <v>517.076923076923</v>
      </c>
      <c r="J76" s="147" t="n">
        <v>1.72</v>
      </c>
      <c r="K76" s="158" t="n">
        <f aca="false">C76+30</f>
        <v>60</v>
      </c>
      <c r="L76" s="147" t="n">
        <v>1.81</v>
      </c>
      <c r="M76" s="159" t="n">
        <f aca="false">(L76-J76)/30</f>
        <v>0.003</v>
      </c>
    </row>
    <row collapsed="false" customFormat="false" customHeight="false" hidden="false" ht="14.25" outlineLevel="0" r="77">
      <c r="A77" s="147" t="n">
        <v>7.922</v>
      </c>
      <c r="B77" s="0" t="n">
        <v>31</v>
      </c>
      <c r="C77" s="0" t="n">
        <v>31</v>
      </c>
      <c r="D77" s="86" t="n">
        <v>0.844</v>
      </c>
      <c r="E77" s="147" t="n">
        <v>25.76</v>
      </c>
      <c r="F77" s="147" t="n">
        <v>243.04</v>
      </c>
      <c r="G77" s="147" t="n">
        <v>414.2</v>
      </c>
      <c r="H77" s="157" t="n">
        <f aca="false">($I77-$G77)/(130-$C77)</f>
        <v>1.03682983682984</v>
      </c>
      <c r="I77" s="147" t="n">
        <v>516.846153846154</v>
      </c>
      <c r="J77" s="147" t="n">
        <v>1.719</v>
      </c>
      <c r="K77" s="158" t="n">
        <f aca="false">C77+30</f>
        <v>61</v>
      </c>
      <c r="L77" s="147" t="n">
        <v>1.81</v>
      </c>
      <c r="M77" s="159" t="n">
        <f aca="false">(L77-J77)/30</f>
        <v>0.00303333333333333</v>
      </c>
    </row>
    <row collapsed="false" customFormat="false" customHeight="false" hidden="false" ht="14.25" outlineLevel="0" r="78">
      <c r="A78" s="147" t="n">
        <v>8.15</v>
      </c>
      <c r="B78" s="0" t="n">
        <v>32</v>
      </c>
      <c r="C78" s="0" t="n">
        <v>32</v>
      </c>
      <c r="D78" s="86" t="n">
        <v>0.847</v>
      </c>
      <c r="E78" s="147" t="n">
        <v>25.02</v>
      </c>
      <c r="F78" s="147" t="n">
        <v>244.48</v>
      </c>
      <c r="G78" s="147" t="n">
        <v>414.68</v>
      </c>
      <c r="H78" s="157" t="n">
        <f aca="false">($I78-$G78)/(130-$C78)</f>
        <v>1.04015698587127</v>
      </c>
      <c r="I78" s="147" t="n">
        <v>516.615384615385</v>
      </c>
      <c r="J78" s="147" t="n">
        <v>1.718</v>
      </c>
      <c r="K78" s="158" t="n">
        <f aca="false">C78+30</f>
        <v>62</v>
      </c>
      <c r="L78" s="147" t="n">
        <v>1.81</v>
      </c>
      <c r="M78" s="159" t="n">
        <f aca="false">(L78-J78)/30</f>
        <v>0.00306666666666667</v>
      </c>
    </row>
    <row collapsed="false" customFormat="false" customHeight="false" hidden="false" ht="14.25" outlineLevel="0" r="79">
      <c r="A79" s="147" t="n">
        <v>8.384</v>
      </c>
      <c r="B79" s="0" t="n">
        <v>33</v>
      </c>
      <c r="C79" s="0" t="n">
        <v>33</v>
      </c>
      <c r="D79" s="86" t="n">
        <v>0.85</v>
      </c>
      <c r="E79" s="147" t="n">
        <v>24.3</v>
      </c>
      <c r="F79" s="147" t="n">
        <v>245.95</v>
      </c>
      <c r="G79" s="147" t="n">
        <v>415.15</v>
      </c>
      <c r="H79" s="157" t="n">
        <f aca="false">($I79-$G79)/(130-$C79)</f>
        <v>1.04365582870738</v>
      </c>
      <c r="I79" s="147" t="n">
        <v>516.384615384615</v>
      </c>
      <c r="J79" s="147" t="n">
        <v>1.717</v>
      </c>
      <c r="K79" s="158" t="n">
        <f aca="false">C79+30</f>
        <v>63</v>
      </c>
      <c r="L79" s="147" t="n">
        <v>1.81</v>
      </c>
      <c r="M79" s="159" t="n">
        <f aca="false">(L79-J79)/30</f>
        <v>0.0031</v>
      </c>
    </row>
    <row collapsed="false" customFormat="false" customHeight="false" hidden="false" ht="14.25" outlineLevel="0" r="80">
      <c r="A80" s="147" t="n">
        <v>8.622</v>
      </c>
      <c r="B80" s="0" t="n">
        <v>34</v>
      </c>
      <c r="C80" s="0" t="n">
        <v>34</v>
      </c>
      <c r="D80" s="86" t="n">
        <v>0.853</v>
      </c>
      <c r="E80" s="147" t="n">
        <v>23.61</v>
      </c>
      <c r="F80" s="147" t="n">
        <v>247.36</v>
      </c>
      <c r="G80" s="147" t="n">
        <v>415.62</v>
      </c>
      <c r="H80" s="157" t="n">
        <f aca="false">($I80-$G80)/(130-$C80)</f>
        <v>1.04722756410256</v>
      </c>
      <c r="I80" s="147" t="n">
        <v>516.153846153846</v>
      </c>
      <c r="J80" s="147" t="n">
        <v>1.716</v>
      </c>
      <c r="K80" s="158" t="n">
        <f aca="false">C80+30</f>
        <v>64</v>
      </c>
      <c r="L80" s="147" t="n">
        <v>1.81</v>
      </c>
      <c r="M80" s="159" t="n">
        <f aca="false">(L80-J80)/30</f>
        <v>0.00313333333333334</v>
      </c>
    </row>
    <row collapsed="false" customFormat="false" customHeight="false" hidden="false" ht="14.25" outlineLevel="0" r="81">
      <c r="A81" s="147" t="n">
        <v>8.865</v>
      </c>
      <c r="B81" s="0" t="n">
        <v>35</v>
      </c>
      <c r="C81" s="0" t="n">
        <v>35</v>
      </c>
      <c r="D81" s="86" t="n">
        <v>0.856</v>
      </c>
      <c r="E81" s="147" t="n">
        <v>22.94</v>
      </c>
      <c r="F81" s="147" t="n">
        <v>248.81</v>
      </c>
      <c r="G81" s="147" t="n">
        <v>416.08</v>
      </c>
      <c r="H81" s="157" t="n">
        <f aca="false">($I81-$G81)/(130-$C81)</f>
        <v>1.05097975708502</v>
      </c>
      <c r="I81" s="147" t="n">
        <v>515.923076923077</v>
      </c>
      <c r="J81" s="147" t="n">
        <v>1.715</v>
      </c>
      <c r="K81" s="158" t="n">
        <f aca="false">C81+30</f>
        <v>65</v>
      </c>
      <c r="L81" s="147" t="n">
        <v>1.81</v>
      </c>
      <c r="M81" s="159" t="n">
        <f aca="false">(L81-J81)/30</f>
        <v>0.00316666666666667</v>
      </c>
    </row>
    <row collapsed="false" customFormat="false" customHeight="false" hidden="false" ht="14.25" outlineLevel="0" r="82">
      <c r="A82" s="147" t="n">
        <v>9.113</v>
      </c>
      <c r="B82" s="0" t="n">
        <v>36</v>
      </c>
      <c r="C82" s="0" t="n">
        <v>36</v>
      </c>
      <c r="D82" s="86" t="n">
        <v>0.859</v>
      </c>
      <c r="E82" s="147" t="n">
        <v>22.29</v>
      </c>
      <c r="F82" s="147" t="n">
        <v>250.26</v>
      </c>
      <c r="G82" s="147" t="n">
        <v>416.54</v>
      </c>
      <c r="H82" s="157" t="n">
        <f aca="false">($I82-$G82)/(130-$C82)</f>
        <v>1.05481178396072</v>
      </c>
      <c r="I82" s="147" t="n">
        <v>515.692307692308</v>
      </c>
      <c r="J82" s="147" t="n">
        <v>1.714</v>
      </c>
      <c r="K82" s="158" t="n">
        <f aca="false">C82+30</f>
        <v>66</v>
      </c>
      <c r="L82" s="147" t="n">
        <v>1.81</v>
      </c>
      <c r="M82" s="159" t="n">
        <f aca="false">(L82-J82)/30</f>
        <v>0.0032</v>
      </c>
    </row>
    <row collapsed="false" customFormat="false" customHeight="false" hidden="false" ht="14.25" outlineLevel="0" r="83">
      <c r="A83" s="147" t="n">
        <v>9.367</v>
      </c>
      <c r="B83" s="0" t="n">
        <v>37</v>
      </c>
      <c r="C83" s="0" t="n">
        <v>37</v>
      </c>
      <c r="D83" s="86" t="n">
        <v>0.862</v>
      </c>
      <c r="E83" s="147" t="n">
        <v>21.66</v>
      </c>
      <c r="F83" s="147" t="n">
        <v>251.72</v>
      </c>
      <c r="G83" s="147" t="n">
        <v>417</v>
      </c>
      <c r="H83" s="157" t="n">
        <f aca="false">($I83-$G83)/(130-$C83)</f>
        <v>1.05872622001654</v>
      </c>
      <c r="I83" s="147" t="n">
        <v>515.461538461538</v>
      </c>
      <c r="J83" s="147" t="n">
        <v>1.713</v>
      </c>
      <c r="K83" s="158" t="n">
        <f aca="false">C83+30</f>
        <v>67</v>
      </c>
      <c r="L83" s="147" t="n">
        <v>1.81</v>
      </c>
      <c r="M83" s="159" t="n">
        <f aca="false">(L83-J83)/30</f>
        <v>0.00323333333333333</v>
      </c>
    </row>
    <row collapsed="false" customFormat="false" customHeight="false" hidden="false" ht="14.25" outlineLevel="0" r="84">
      <c r="A84" s="147" t="n">
        <v>9.626</v>
      </c>
      <c r="B84" s="0" t="n">
        <v>38</v>
      </c>
      <c r="C84" s="0" t="n">
        <v>38</v>
      </c>
      <c r="D84" s="86" t="n">
        <v>0.865</v>
      </c>
      <c r="E84" s="147" t="n">
        <v>21.05</v>
      </c>
      <c r="F84" s="147" t="n">
        <v>253.18</v>
      </c>
      <c r="G84" s="147" t="n">
        <v>417.45</v>
      </c>
      <c r="H84" s="157" t="n">
        <f aca="false">($I84-$G84)/(130-$C84)</f>
        <v>1.06283444816054</v>
      </c>
      <c r="I84" s="147" t="n">
        <v>515.230769230769</v>
      </c>
      <c r="J84" s="147" t="n">
        <v>1.712</v>
      </c>
      <c r="K84" s="158" t="n">
        <f aca="false">C84+30</f>
        <v>68</v>
      </c>
      <c r="L84" s="147" t="n">
        <v>1.81</v>
      </c>
      <c r="M84" s="159" t="n">
        <f aca="false">(L84-J84)/30</f>
        <v>0.00326666666666667</v>
      </c>
    </row>
    <row collapsed="false" customFormat="false" customHeight="false" hidden="false" ht="14.25" outlineLevel="0" r="85">
      <c r="A85" s="147" t="n">
        <v>9.89</v>
      </c>
      <c r="B85" s="0" t="n">
        <v>39</v>
      </c>
      <c r="C85" s="0" t="n">
        <v>39</v>
      </c>
      <c r="D85" s="86" t="n">
        <v>0.868</v>
      </c>
      <c r="E85" s="147" t="n">
        <v>20.46</v>
      </c>
      <c r="F85" s="147" t="n">
        <v>254.64</v>
      </c>
      <c r="G85" s="147" t="n">
        <v>417.89</v>
      </c>
      <c r="H85" s="157" t="n">
        <f aca="false">($I85-$G85)/(130-$C85)</f>
        <v>1.06714285714286</v>
      </c>
      <c r="I85" s="147" t="n">
        <v>515</v>
      </c>
      <c r="J85" s="147" t="n">
        <v>1.711</v>
      </c>
      <c r="K85" s="158" t="n">
        <f aca="false">C85+30</f>
        <v>69</v>
      </c>
      <c r="L85" s="147" t="n">
        <v>1.81</v>
      </c>
      <c r="M85" s="159" t="n">
        <f aca="false">(L85-J85)/30</f>
        <v>0.0033</v>
      </c>
    </row>
    <row collapsed="false" customFormat="false" customHeight="false" hidden="false" ht="14.25" outlineLevel="0" r="86">
      <c r="A86" s="147" t="n">
        <v>10.16</v>
      </c>
      <c r="B86" s="0" t="n">
        <v>40</v>
      </c>
      <c r="C86" s="0" t="n">
        <v>40</v>
      </c>
      <c r="D86" s="86" t="n">
        <v>0.871</v>
      </c>
      <c r="E86" s="147" t="n">
        <v>19.89</v>
      </c>
      <c r="F86" s="147" t="n">
        <v>256.11</v>
      </c>
      <c r="G86" s="147" t="n">
        <v>418.33</v>
      </c>
      <c r="H86" s="157" t="n">
        <f aca="false">($I86-$G86)/(130-$C86)</f>
        <v>1.07014285714286</v>
      </c>
      <c r="I86" s="147" t="n">
        <v>514.642857142857</v>
      </c>
      <c r="J86" s="147" t="n">
        <v>1.71</v>
      </c>
      <c r="K86" s="158" t="n">
        <f aca="false">C86+30</f>
        <v>70</v>
      </c>
      <c r="L86" s="147" t="n">
        <v>1.81</v>
      </c>
      <c r="M86" s="159" t="n">
        <f aca="false">(L86-J86)/30</f>
        <v>0.00333333333333334</v>
      </c>
    </row>
    <row collapsed="false" customFormat="false" customHeight="false" hidden="false" ht="14.25" outlineLevel="0" r="87">
      <c r="A87" s="147" t="n">
        <v>10.435</v>
      </c>
      <c r="B87" s="0" t="n">
        <v>41</v>
      </c>
      <c r="C87" s="0" t="n">
        <v>41</v>
      </c>
      <c r="D87" s="86" t="n">
        <v>0.875</v>
      </c>
      <c r="E87" s="147" t="n">
        <v>19.34</v>
      </c>
      <c r="F87" s="147" t="n">
        <v>257.58</v>
      </c>
      <c r="G87" s="147" t="n">
        <v>418.77</v>
      </c>
      <c r="H87" s="157" t="n">
        <f aca="false">($I87-$G87)/(130-$C87)</f>
        <v>1.0732102728732</v>
      </c>
      <c r="I87" s="147" t="n">
        <v>514.285714285714</v>
      </c>
      <c r="J87" s="147" t="n">
        <v>1.71</v>
      </c>
      <c r="K87" s="158" t="n">
        <f aca="false">C87+30</f>
        <v>71</v>
      </c>
      <c r="L87" s="147" t="n">
        <v>1.81</v>
      </c>
      <c r="M87" s="159" t="n">
        <f aca="false">(L87-J87)/30</f>
        <v>0.00333333333333334</v>
      </c>
    </row>
    <row collapsed="false" customFormat="false" customHeight="false" hidden="false" ht="14.25" outlineLevel="0" r="88">
      <c r="A88" s="147" t="n">
        <v>10.716</v>
      </c>
      <c r="B88" s="0" t="n">
        <v>42</v>
      </c>
      <c r="C88" s="0" t="n">
        <v>42</v>
      </c>
      <c r="D88" s="86" t="n">
        <v>0.878</v>
      </c>
      <c r="E88" s="147" t="n">
        <v>18.8</v>
      </c>
      <c r="F88" s="147" t="n">
        <v>259.05</v>
      </c>
      <c r="G88" s="147" t="n">
        <v>419.2</v>
      </c>
      <c r="H88" s="157" t="n">
        <f aca="false">($I88-$G88)/(130-$C88)</f>
        <v>1.07646103896104</v>
      </c>
      <c r="I88" s="147" t="n">
        <v>513.928571428571</v>
      </c>
      <c r="J88" s="147" t="n">
        <v>1.71</v>
      </c>
      <c r="K88" s="158" t="n">
        <f aca="false">C88+30</f>
        <v>72</v>
      </c>
      <c r="L88" s="147" t="n">
        <v>1.81</v>
      </c>
      <c r="M88" s="159" t="n">
        <f aca="false">(L88-J88)/30</f>
        <v>0.00333333333333334</v>
      </c>
    </row>
    <row collapsed="false" customFormat="false" customHeight="false" hidden="false" ht="14.25" outlineLevel="0" r="89">
      <c r="A89" s="147" t="n">
        <v>11.002</v>
      </c>
      <c r="B89" s="0" t="n">
        <v>43</v>
      </c>
      <c r="C89" s="0" t="n">
        <v>43</v>
      </c>
      <c r="D89" s="86" t="n">
        <v>0.881</v>
      </c>
      <c r="E89" s="147" t="n">
        <v>18.28</v>
      </c>
      <c r="F89" s="147" t="n">
        <v>260.53</v>
      </c>
      <c r="G89" s="147" t="n">
        <v>419.62</v>
      </c>
      <c r="H89" s="157" t="n">
        <f aca="false">($I89-$G89)/(130-$C89)</f>
        <v>1.07990147783251</v>
      </c>
      <c r="I89" s="147" t="n">
        <v>513.571428571429</v>
      </c>
      <c r="J89" s="147" t="n">
        <v>1.71</v>
      </c>
      <c r="K89" s="158" t="n">
        <f aca="false">C89+30</f>
        <v>73</v>
      </c>
      <c r="L89" s="147" t="n">
        <v>1.81</v>
      </c>
      <c r="M89" s="159" t="n">
        <f aca="false">(L89-J89)/30</f>
        <v>0.00333333333333334</v>
      </c>
    </row>
    <row collapsed="false" customFormat="false" customHeight="false" hidden="false" ht="14.25" outlineLevel="0" r="90">
      <c r="A90" s="147" t="n">
        <v>11.294</v>
      </c>
      <c r="B90" s="0" t="n">
        <v>44</v>
      </c>
      <c r="C90" s="0" t="n">
        <v>44</v>
      </c>
      <c r="D90" s="86" t="n">
        <v>0.885</v>
      </c>
      <c r="E90" s="147" t="n">
        <v>17.78</v>
      </c>
      <c r="F90" s="147" t="n">
        <v>262.02</v>
      </c>
      <c r="G90" s="147" t="n">
        <v>420.04</v>
      </c>
      <c r="H90" s="157" t="n">
        <f aca="false">($I90-$G90)/(130-$C90)</f>
        <v>1.0834219269103</v>
      </c>
      <c r="I90" s="147" t="n">
        <v>513.214285714286</v>
      </c>
      <c r="J90" s="147" t="n">
        <v>1.71</v>
      </c>
      <c r="K90" s="158" t="n">
        <f aca="false">C90+30</f>
        <v>74</v>
      </c>
      <c r="L90" s="147" t="n">
        <v>1.81</v>
      </c>
      <c r="M90" s="159" t="n">
        <f aca="false">(L90-J90)/30</f>
        <v>0.00333333333333334</v>
      </c>
    </row>
    <row collapsed="false" customFormat="false" customHeight="false" hidden="false" ht="14.25" outlineLevel="0" r="91">
      <c r="A91" s="147" t="n">
        <v>11.592</v>
      </c>
      <c r="B91" s="0" t="n">
        <v>45</v>
      </c>
      <c r="C91" s="0" t="n">
        <v>45</v>
      </c>
      <c r="D91" s="86" t="n">
        <v>0.888</v>
      </c>
      <c r="E91" s="147" t="n">
        <v>17.29</v>
      </c>
      <c r="F91" s="147" t="n">
        <v>263.5</v>
      </c>
      <c r="G91" s="147" t="n">
        <v>420.45</v>
      </c>
      <c r="H91" s="157" t="n">
        <f aca="false">($I91-$G91)/(130-$C91)</f>
        <v>1.08714285714286</v>
      </c>
      <c r="I91" s="147" t="n">
        <v>512.857142857143</v>
      </c>
      <c r="J91" s="147" t="n">
        <v>1.71</v>
      </c>
      <c r="K91" s="158" t="n">
        <f aca="false">C91+30</f>
        <v>75</v>
      </c>
      <c r="L91" s="147" t="n">
        <v>1.81</v>
      </c>
      <c r="M91" s="159" t="n">
        <f aca="false">(L91-J91)/30</f>
        <v>0.00333333333333334</v>
      </c>
    </row>
    <row collapsed="false" customFormat="false" customHeight="false" hidden="false" ht="14.25" outlineLevel="0" r="92">
      <c r="A92" s="147" t="n">
        <v>11.896</v>
      </c>
      <c r="B92" s="0" t="n">
        <v>46</v>
      </c>
      <c r="C92" s="0" t="n">
        <v>46</v>
      </c>
      <c r="D92" s="86" t="n">
        <v>0.892</v>
      </c>
      <c r="E92" s="147" t="n">
        <v>16.82</v>
      </c>
      <c r="F92" s="147" t="n">
        <v>265</v>
      </c>
      <c r="G92" s="147" t="n">
        <v>420.85</v>
      </c>
      <c r="H92" s="157" t="n">
        <f aca="false">($I92-$G92)/(130-$C92)</f>
        <v>1.09107142857143</v>
      </c>
      <c r="I92" s="147" t="n">
        <v>512.5</v>
      </c>
      <c r="J92" s="147" t="n">
        <v>1.71</v>
      </c>
      <c r="K92" s="158" t="n">
        <f aca="false">C92+30</f>
        <v>76</v>
      </c>
      <c r="L92" s="147" t="n">
        <v>1.81</v>
      </c>
      <c r="M92" s="159" t="n">
        <f aca="false">(L92-J92)/30</f>
        <v>0.00333333333333334</v>
      </c>
    </row>
    <row collapsed="false" customFormat="false" customHeight="false" hidden="false" ht="14.25" outlineLevel="0" r="93">
      <c r="A93" s="147" t="n">
        <v>12.205</v>
      </c>
      <c r="B93" s="0" t="n">
        <v>47</v>
      </c>
      <c r="C93" s="0" t="n">
        <v>47</v>
      </c>
      <c r="D93" s="86" t="n">
        <v>0.895</v>
      </c>
      <c r="E93" s="147" t="n">
        <v>16.35</v>
      </c>
      <c r="F93" s="147" t="n">
        <v>266.5</v>
      </c>
      <c r="G93" s="147" t="n">
        <v>421.25</v>
      </c>
      <c r="H93" s="157" t="n">
        <f aca="false">($I93-$G93)/(130-$C93)</f>
        <v>1.09509466437177</v>
      </c>
      <c r="I93" s="147" t="n">
        <v>512.142857142857</v>
      </c>
      <c r="J93" s="147" t="n">
        <v>1.71</v>
      </c>
      <c r="K93" s="158" t="n">
        <f aca="false">C93+30</f>
        <v>77</v>
      </c>
      <c r="L93" s="147" t="n">
        <v>1.81</v>
      </c>
      <c r="M93" s="159" t="n">
        <f aca="false">(L93-J93)/30</f>
        <v>0.00333333333333334</v>
      </c>
    </row>
    <row collapsed="false" customFormat="false" customHeight="false" hidden="false" ht="14.25" outlineLevel="0" r="94">
      <c r="A94" s="147" t="n">
        <v>12.521</v>
      </c>
      <c r="B94" s="0" t="n">
        <v>48</v>
      </c>
      <c r="C94" s="0" t="n">
        <v>48</v>
      </c>
      <c r="D94" s="86" t="n">
        <v>0.899</v>
      </c>
      <c r="E94" s="147" t="n">
        <v>15.91</v>
      </c>
      <c r="F94" s="147" t="n">
        <v>268</v>
      </c>
      <c r="G94" s="147" t="n">
        <v>421.64</v>
      </c>
      <c r="H94" s="157" t="n">
        <f aca="false">($I94-$G94)/(130-$C94)</f>
        <v>1.09933797909408</v>
      </c>
      <c r="I94" s="147" t="n">
        <v>511.785714285714</v>
      </c>
      <c r="J94" s="147" t="n">
        <v>1.71</v>
      </c>
      <c r="K94" s="158" t="n">
        <f aca="false">C94+30</f>
        <v>78</v>
      </c>
      <c r="L94" s="147" t="n">
        <v>1.81</v>
      </c>
      <c r="M94" s="159" t="n">
        <f aca="false">(L94-J94)/30</f>
        <v>0.00333333333333334</v>
      </c>
    </row>
    <row collapsed="false" customFormat="false" customHeight="false" hidden="false" ht="14.25" outlineLevel="0" r="95">
      <c r="A95" s="147" t="n">
        <v>12.843</v>
      </c>
      <c r="B95" s="0" t="n">
        <v>49</v>
      </c>
      <c r="C95" s="0" t="n">
        <v>49</v>
      </c>
      <c r="D95" s="86" t="n">
        <v>0.903</v>
      </c>
      <c r="E95" s="147" t="n">
        <v>15.47</v>
      </c>
      <c r="F95" s="147" t="n">
        <v>269.51</v>
      </c>
      <c r="G95" s="147" t="n">
        <v>422.03</v>
      </c>
      <c r="H95" s="157" t="n">
        <f aca="false">($I95-$G95)/(130-$C95)</f>
        <v>1.1036860670194</v>
      </c>
      <c r="I95" s="147" t="n">
        <v>511.428571428572</v>
      </c>
      <c r="J95" s="147" t="n">
        <v>1.71</v>
      </c>
      <c r="K95" s="158" t="n">
        <f aca="false">C95+30</f>
        <v>79</v>
      </c>
      <c r="L95" s="147" t="n">
        <v>1.81</v>
      </c>
      <c r="M95" s="159" t="n">
        <f aca="false">(L95-J95)/30</f>
        <v>0.00333333333333334</v>
      </c>
    </row>
    <row collapsed="false" customFormat="false" customHeight="false" hidden="false" ht="14.25" outlineLevel="0" r="96">
      <c r="A96" s="147" t="n">
        <v>13.171</v>
      </c>
      <c r="B96" s="0" t="n">
        <v>50</v>
      </c>
      <c r="C96" s="0" t="n">
        <v>50</v>
      </c>
      <c r="D96" s="86" t="n">
        <v>0.907</v>
      </c>
      <c r="E96" s="147" t="n">
        <v>15.05</v>
      </c>
      <c r="F96" s="147" t="n">
        <v>271.02</v>
      </c>
      <c r="G96" s="147" t="n">
        <v>422.41</v>
      </c>
      <c r="H96" s="157" t="n">
        <f aca="false">($I96-$G96)/(130-$C96)</f>
        <v>1.10826785714286</v>
      </c>
      <c r="I96" s="147" t="n">
        <v>511.071428571429</v>
      </c>
      <c r="J96" s="147" t="n">
        <v>1.71</v>
      </c>
      <c r="K96" s="158" t="n">
        <f aca="false">C96+30</f>
        <v>80</v>
      </c>
      <c r="L96" s="147" t="n">
        <v>1.81</v>
      </c>
      <c r="M96" s="159" t="n">
        <f aca="false">(L96-J96)/30</f>
        <v>0.00333333333333334</v>
      </c>
    </row>
    <row collapsed="false" customFormat="false" customHeight="false" hidden="false" ht="14.25" outlineLevel="0" r="97">
      <c r="A97" s="147" t="n">
        <v>13.505</v>
      </c>
      <c r="B97" s="0" t="n">
        <v>51</v>
      </c>
      <c r="C97" s="0" t="n">
        <v>51</v>
      </c>
      <c r="D97" s="86" t="n">
        <v>0.91</v>
      </c>
      <c r="E97" s="147" t="n">
        <v>14.64</v>
      </c>
      <c r="F97" s="147" t="n">
        <v>272.54</v>
      </c>
      <c r="G97" s="147" t="n">
        <v>422.78</v>
      </c>
      <c r="H97" s="157" t="n">
        <f aca="false">($I97-$G97)/(130-$C97)</f>
        <v>1.11309222423147</v>
      </c>
      <c r="I97" s="147" t="n">
        <v>510.714285714286</v>
      </c>
      <c r="J97" s="147" t="n">
        <v>1.71</v>
      </c>
      <c r="K97" s="158" t="n">
        <f aca="false">C97+30</f>
        <v>81</v>
      </c>
      <c r="L97" s="147" t="n">
        <v>1.81</v>
      </c>
      <c r="M97" s="159" t="n">
        <f aca="false">(L97-J97)/30</f>
        <v>0.00333333333333334</v>
      </c>
    </row>
    <row collapsed="false" customFormat="false" customHeight="false" hidden="false" ht="14.25" outlineLevel="0" r="98">
      <c r="A98" s="147" t="n">
        <v>13.846</v>
      </c>
      <c r="B98" s="0" t="n">
        <v>52</v>
      </c>
      <c r="C98" s="0" t="n">
        <v>52</v>
      </c>
      <c r="D98" s="86" t="n">
        <v>0.914</v>
      </c>
      <c r="E98" s="147" t="n">
        <v>14.25</v>
      </c>
      <c r="F98" s="147" t="n">
        <v>274.07</v>
      </c>
      <c r="G98" s="147" t="n">
        <v>423.15</v>
      </c>
      <c r="H98" s="157" t="n">
        <f aca="false">($I98-$G98)/(130-$C98)</f>
        <v>1.11804029304029</v>
      </c>
      <c r="I98" s="147" t="n">
        <v>510.357142857143</v>
      </c>
      <c r="J98" s="147" t="n">
        <v>1.71</v>
      </c>
      <c r="K98" s="158" t="n">
        <f aca="false">C98+30</f>
        <v>82</v>
      </c>
      <c r="L98" s="147" t="n">
        <v>1.81</v>
      </c>
      <c r="M98" s="159" t="n">
        <f aca="false">(L98-J98)/30</f>
        <v>0.00333333333333334</v>
      </c>
    </row>
    <row collapsed="false" customFormat="false" customHeight="false" hidden="false" ht="14.25" outlineLevel="0" r="99">
      <c r="A99" s="147" t="n">
        <v>14.193</v>
      </c>
      <c r="B99" s="0" t="n">
        <v>53</v>
      </c>
      <c r="C99" s="0" t="n">
        <v>53</v>
      </c>
      <c r="D99" s="86" t="n">
        <v>0.918</v>
      </c>
      <c r="E99" s="147" t="n">
        <v>13.86</v>
      </c>
      <c r="F99" s="147" t="n">
        <v>275.6</v>
      </c>
      <c r="G99" s="147" t="n">
        <v>423.5</v>
      </c>
      <c r="H99" s="157" t="n">
        <f aca="false">($I99-$G99)/(130-$C99)</f>
        <v>1.12337662337662</v>
      </c>
      <c r="I99" s="147" t="n">
        <v>510</v>
      </c>
      <c r="J99" s="147" t="n">
        <v>1.71</v>
      </c>
      <c r="K99" s="158" t="n">
        <f aca="false">C99+30</f>
        <v>83</v>
      </c>
      <c r="L99" s="147" t="n">
        <v>1.81</v>
      </c>
      <c r="M99" s="159" t="n">
        <f aca="false">(L99-J99)/30</f>
        <v>0.00333333333333334</v>
      </c>
    </row>
    <row collapsed="false" customFormat="false" customHeight="false" hidden="false" ht="14.25" outlineLevel="0" r="100">
      <c r="A100" s="147" t="n">
        <v>14.547</v>
      </c>
      <c r="B100" s="0" t="n">
        <v>54</v>
      </c>
      <c r="C100" s="0" t="n">
        <v>54</v>
      </c>
      <c r="D100" s="86" t="n">
        <v>0.922</v>
      </c>
      <c r="E100" s="147" t="n">
        <v>13.49</v>
      </c>
      <c r="F100" s="147" t="n">
        <v>277.14</v>
      </c>
      <c r="G100" s="147" t="n">
        <v>423.85</v>
      </c>
      <c r="H100" s="157" t="n">
        <f aca="false">($I100-$G100)/(130-$C100)</f>
        <v>1.13116028708134</v>
      </c>
      <c r="I100" s="147" t="n">
        <v>509.818181818182</v>
      </c>
      <c r="J100" s="147" t="n">
        <v>1.71</v>
      </c>
      <c r="K100" s="158" t="n">
        <f aca="false">C100+30</f>
        <v>84</v>
      </c>
      <c r="L100" s="147" t="n">
        <v>1.81</v>
      </c>
      <c r="M100" s="159" t="n">
        <f aca="false">(L100-J100)/30</f>
        <v>0.00333333333333334</v>
      </c>
    </row>
    <row collapsed="false" customFormat="false" customHeight="false" hidden="false" ht="14.25" outlineLevel="0" r="101">
      <c r="A101" s="147" t="n">
        <v>14.907</v>
      </c>
      <c r="B101" s="0" t="n">
        <v>55</v>
      </c>
      <c r="C101" s="0" t="n">
        <v>55</v>
      </c>
      <c r="D101" s="86" t="n">
        <v>0.927</v>
      </c>
      <c r="E101" s="147" t="n">
        <v>13.12</v>
      </c>
      <c r="F101" s="147" t="n">
        <v>278.69</v>
      </c>
      <c r="G101" s="147" t="n">
        <v>424.19</v>
      </c>
      <c r="H101" s="157" t="n">
        <f aca="false">($I101-$G101)/(130-$C101)</f>
        <v>1.13928484848485</v>
      </c>
      <c r="I101" s="147" t="n">
        <v>509.636363636364</v>
      </c>
      <c r="J101" s="147" t="n">
        <v>1.71</v>
      </c>
      <c r="K101" s="158" t="n">
        <f aca="false">C101+30</f>
        <v>85</v>
      </c>
      <c r="L101" s="147" t="n">
        <v>1.81</v>
      </c>
      <c r="M101" s="159" t="n">
        <f aca="false">(L101-J101)/30</f>
        <v>0.00333333333333334</v>
      </c>
    </row>
    <row collapsed="false" customFormat="false" customHeight="false" hidden="false" ht="14.25" outlineLevel="0" r="102">
      <c r="A102" s="147" t="n">
        <v>15.274</v>
      </c>
      <c r="B102" s="0" t="n">
        <v>56</v>
      </c>
      <c r="C102" s="0" t="n">
        <v>56</v>
      </c>
      <c r="D102" s="86" t="n">
        <v>0.931</v>
      </c>
      <c r="E102" s="147" t="n">
        <v>12.77</v>
      </c>
      <c r="F102" s="147" t="n">
        <v>280.24</v>
      </c>
      <c r="G102" s="147" t="n">
        <v>424.52</v>
      </c>
      <c r="H102" s="157" t="n">
        <f aca="false">($I102-$G102)/(130-$C102)</f>
        <v>1.14776412776413</v>
      </c>
      <c r="I102" s="147" t="n">
        <v>509.454545454546</v>
      </c>
      <c r="J102" s="147" t="n">
        <v>1.71</v>
      </c>
      <c r="K102" s="158" t="n">
        <f aca="false">C102+30</f>
        <v>86</v>
      </c>
      <c r="L102" s="147" t="n">
        <v>1.81</v>
      </c>
      <c r="M102" s="159" t="n">
        <f aca="false">(L102-J102)/30</f>
        <v>0.00333333333333334</v>
      </c>
    </row>
    <row collapsed="false" customFormat="false" customHeight="false" hidden="false" ht="14.25" outlineLevel="0" r="103">
      <c r="A103" s="147" t="n">
        <v>15.648</v>
      </c>
      <c r="B103" s="0" t="n">
        <v>57</v>
      </c>
      <c r="C103" s="0" t="n">
        <v>57</v>
      </c>
      <c r="D103" s="86" t="n">
        <v>0.935</v>
      </c>
      <c r="E103" s="147" t="n">
        <v>12.42</v>
      </c>
      <c r="F103" s="147" t="n">
        <v>281.8</v>
      </c>
      <c r="G103" s="147" t="n">
        <v>424.85</v>
      </c>
      <c r="H103" s="157" t="n">
        <f aca="false">($I103-$G103)/(130-$C103)</f>
        <v>1.15647571606476</v>
      </c>
      <c r="I103" s="147" t="n">
        <v>509.272727272727</v>
      </c>
      <c r="J103" s="147" t="n">
        <v>1.71</v>
      </c>
      <c r="K103" s="158" t="n">
        <f aca="false">C103+30</f>
        <v>87</v>
      </c>
      <c r="L103" s="147" t="n">
        <v>1.81</v>
      </c>
      <c r="M103" s="159" t="n">
        <f aca="false">(L103-J103)/30</f>
        <v>0.00333333333333334</v>
      </c>
    </row>
    <row collapsed="false" customFormat="false" customHeight="false" hidden="false" ht="14.25" outlineLevel="0" r="104">
      <c r="A104" s="147" t="n">
        <v>16.028</v>
      </c>
      <c r="B104" s="0" t="n">
        <v>58</v>
      </c>
      <c r="C104" s="0" t="n">
        <v>58</v>
      </c>
      <c r="D104" s="86" t="n">
        <v>0.94</v>
      </c>
      <c r="E104" s="147" t="n">
        <v>12.09</v>
      </c>
      <c r="F104" s="147" t="n">
        <v>283.37</v>
      </c>
      <c r="G104" s="147" t="n">
        <v>425.16</v>
      </c>
      <c r="H104" s="157" t="n">
        <f aca="false">($I104-$G104)/(130-$C104)</f>
        <v>1.16570707070707</v>
      </c>
      <c r="I104" s="147" t="n">
        <v>509.090909090909</v>
      </c>
      <c r="J104" s="147" t="n">
        <v>1.71</v>
      </c>
      <c r="K104" s="158" t="n">
        <f aca="false">C104+30</f>
        <v>88</v>
      </c>
      <c r="L104" s="147" t="n">
        <v>1.81</v>
      </c>
      <c r="M104" s="159" t="n">
        <f aca="false">(L104-J104)/30</f>
        <v>0.00333333333333334</v>
      </c>
    </row>
    <row collapsed="false" customFormat="false" customHeight="false" hidden="false" ht="14.25" outlineLevel="0" r="105">
      <c r="A105" s="147" t="n">
        <v>16.416</v>
      </c>
      <c r="B105" s="0" t="n">
        <v>59</v>
      </c>
      <c r="C105" s="0" t="n">
        <v>59</v>
      </c>
      <c r="D105" s="86" t="n">
        <v>0.944</v>
      </c>
      <c r="E105" s="147" t="n">
        <v>11.76</v>
      </c>
      <c r="F105" s="147" t="n">
        <v>284.94</v>
      </c>
      <c r="G105" s="147" t="n">
        <v>425.47</v>
      </c>
      <c r="H105" s="157" t="n">
        <f aca="false">($I105-$G105)/(130-$C105)</f>
        <v>1.17519846350832</v>
      </c>
      <c r="I105" s="147" t="n">
        <v>508.909090909091</v>
      </c>
      <c r="J105" s="147" t="n">
        <v>1.71</v>
      </c>
      <c r="K105" s="158" t="n">
        <f aca="false">C105+30</f>
        <v>89</v>
      </c>
      <c r="L105" s="147" t="n">
        <v>1.81</v>
      </c>
      <c r="M105" s="159" t="n">
        <f aca="false">(L105-J105)/30</f>
        <v>0.00333333333333334</v>
      </c>
    </row>
    <row collapsed="false" customFormat="false" customHeight="false" hidden="false" ht="14.25" outlineLevel="0" r="106">
      <c r="A106" s="147" t="n">
        <v>16.811</v>
      </c>
      <c r="B106" s="0" t="n">
        <v>60</v>
      </c>
      <c r="C106" s="0" t="n">
        <v>60</v>
      </c>
      <c r="D106" s="86" t="n">
        <v>0.949</v>
      </c>
      <c r="E106" s="147" t="n">
        <v>11.44</v>
      </c>
      <c r="F106" s="147" t="n">
        <v>286.53</v>
      </c>
      <c r="G106" s="147" t="n">
        <v>425.76</v>
      </c>
      <c r="H106" s="157" t="n">
        <f aca="false">($I106-$G106)/(130-$C106)</f>
        <v>1.18524675324675</v>
      </c>
      <c r="I106" s="147" t="n">
        <v>508.727272727273</v>
      </c>
      <c r="J106" s="147" t="n">
        <v>1.71</v>
      </c>
      <c r="K106" s="158" t="n">
        <f aca="false">C106+30</f>
        <v>90</v>
      </c>
      <c r="L106" s="147" t="n">
        <v>1.81</v>
      </c>
      <c r="M106" s="159" t="n">
        <f aca="false">(L106-J106)/30</f>
        <v>0.00333333333333334</v>
      </c>
    </row>
    <row collapsed="false" customFormat="false" customHeight="false" hidden="false" ht="14.25" outlineLevel="0" r="107">
      <c r="A107" s="147" t="n">
        <v>17.228</v>
      </c>
      <c r="B107" s="0" t="n">
        <v>61</v>
      </c>
      <c r="C107" s="0" t="n">
        <v>61</v>
      </c>
      <c r="D107" s="86" t="n">
        <v>0.955</v>
      </c>
      <c r="E107" s="147" t="n">
        <v>11.14</v>
      </c>
      <c r="F107" s="147" t="n">
        <v>289.55</v>
      </c>
      <c r="G107" s="147" t="n">
        <v>427.36</v>
      </c>
      <c r="H107" s="157" t="n">
        <f aca="false">($I107-$G107)/(130-$C107)</f>
        <v>1.17660079051383</v>
      </c>
      <c r="I107" s="147" t="n">
        <v>508.545454545455</v>
      </c>
      <c r="J107" s="147" t="n">
        <v>1.708</v>
      </c>
      <c r="K107" s="158" t="n">
        <f aca="false">C107+30</f>
        <v>91</v>
      </c>
      <c r="L107" s="147" t="n">
        <v>1.81</v>
      </c>
      <c r="M107" s="159" t="n">
        <f aca="false">(L107-J107)/30</f>
        <v>0.0034</v>
      </c>
    </row>
    <row collapsed="false" customFormat="false" customHeight="false" hidden="false" ht="14.25" outlineLevel="0" r="108">
      <c r="A108" s="147" t="n">
        <v>17.637</v>
      </c>
      <c r="B108" s="0" t="n">
        <v>62</v>
      </c>
      <c r="C108" s="0" t="n">
        <v>62</v>
      </c>
      <c r="D108" s="86" t="n">
        <v>0.96</v>
      </c>
      <c r="E108" s="147" t="n">
        <v>10.84</v>
      </c>
      <c r="F108" s="147" t="n">
        <v>291.2</v>
      </c>
      <c r="G108" s="147" t="n">
        <v>427.61</v>
      </c>
      <c r="H108" s="157" t="n">
        <f aca="false">($I108-$G108)/(130-$C108)</f>
        <v>1.18755347593583</v>
      </c>
      <c r="I108" s="147" t="n">
        <v>508.363636363636</v>
      </c>
      <c r="J108" s="147" t="n">
        <v>1.706</v>
      </c>
      <c r="K108" s="158" t="n">
        <f aca="false">C108+30</f>
        <v>92</v>
      </c>
      <c r="L108" s="147" t="n">
        <v>1.81</v>
      </c>
      <c r="M108" s="159" t="n">
        <f aca="false">(L108-J108)/30</f>
        <v>0.00346666666666667</v>
      </c>
    </row>
    <row collapsed="false" customFormat="false" customHeight="false" hidden="false" ht="14.25" outlineLevel="0" r="109">
      <c r="A109" s="147" t="n">
        <v>18.053</v>
      </c>
      <c r="B109" s="0" t="n">
        <v>63</v>
      </c>
      <c r="C109" s="0" t="n">
        <v>63</v>
      </c>
      <c r="D109" s="86" t="n">
        <v>0.965</v>
      </c>
      <c r="E109" s="147" t="n">
        <v>10.54</v>
      </c>
      <c r="F109" s="147" t="n">
        <v>292.86</v>
      </c>
      <c r="G109" s="147" t="n">
        <v>427.85</v>
      </c>
      <c r="H109" s="157" t="n">
        <f aca="false">($I109-$G109)/(130-$C109)</f>
        <v>1.19898236092266</v>
      </c>
      <c r="I109" s="147" t="n">
        <v>508.181818181818</v>
      </c>
      <c r="J109" s="147" t="n">
        <v>1.704</v>
      </c>
      <c r="K109" s="158" t="n">
        <f aca="false">C109+30</f>
        <v>93</v>
      </c>
      <c r="L109" s="147" t="n">
        <v>1.81</v>
      </c>
      <c r="M109" s="159" t="n">
        <f aca="false">(L109-J109)/30</f>
        <v>0.00353333333333334</v>
      </c>
    </row>
    <row collapsed="false" customFormat="false" customHeight="false" hidden="false" ht="14.25" outlineLevel="0" r="110">
      <c r="A110" s="147" t="n">
        <v>18.476</v>
      </c>
      <c r="B110" s="0" t="n">
        <v>64</v>
      </c>
      <c r="C110" s="0" t="n">
        <v>64</v>
      </c>
      <c r="D110" s="86" t="n">
        <v>0.975</v>
      </c>
      <c r="E110" s="147" t="n">
        <v>10.25</v>
      </c>
      <c r="F110" s="147" t="n">
        <v>294.53</v>
      </c>
      <c r="G110" s="147" t="n">
        <v>428.08</v>
      </c>
      <c r="H110" s="157" t="n">
        <f aca="false">($I110-$G110)/(130-$C110)</f>
        <v>1.21090909090909</v>
      </c>
      <c r="I110" s="147" t="n">
        <v>508</v>
      </c>
      <c r="J110" s="147" t="n">
        <v>1.702</v>
      </c>
      <c r="K110" s="158" t="n">
        <f aca="false">C110+30</f>
        <v>94</v>
      </c>
      <c r="L110" s="147" t="n">
        <v>1.81</v>
      </c>
      <c r="M110" s="159" t="n">
        <f aca="false">(L110-J110)/30</f>
        <v>0.0036</v>
      </c>
    </row>
    <row collapsed="false" customFormat="false" customHeight="false" hidden="false" ht="14.25" outlineLevel="0" r="111">
      <c r="A111" s="147" t="n">
        <v>18.906</v>
      </c>
      <c r="B111" s="0" t="n">
        <v>65</v>
      </c>
      <c r="C111" s="0" t="n">
        <v>65</v>
      </c>
      <c r="F111" s="160"/>
      <c r="G111" s="160"/>
      <c r="H111" s="157" t="n">
        <f aca="false">($I111-$G111)/(130-$C111)</f>
        <v>0</v>
      </c>
      <c r="I111" s="65"/>
      <c r="J111" s="147" t="n">
        <v>1.7</v>
      </c>
      <c r="K111" s="158" t="n">
        <f aca="false">C111+30</f>
        <v>95</v>
      </c>
      <c r="L111" s="147" t="n">
        <v>1.81</v>
      </c>
      <c r="M111" s="159" t="n">
        <f aca="false">(L111-J111)/30</f>
        <v>0.00366666666666666</v>
      </c>
    </row>
    <row collapsed="false" customFormat="false" customHeight="false" hidden="false" ht="14.25" outlineLevel="0" r="112">
      <c r="A112" s="161"/>
      <c r="B112" s="162"/>
      <c r="C112" s="163"/>
      <c r="F112" s="160"/>
      <c r="G112" s="160"/>
      <c r="H112" s="157" t="n">
        <f aca="false">($I112-$G112)/(130-$C112)</f>
        <v>0</v>
      </c>
      <c r="I112" s="147"/>
      <c r="J112" s="147"/>
      <c r="K112" s="158" t="n">
        <f aca="false">C112+30</f>
        <v>30</v>
      </c>
      <c r="L112" s="147"/>
      <c r="M112" s="159" t="n">
        <f aca="false">(L112-J112)/30</f>
        <v>0</v>
      </c>
    </row>
    <row collapsed="false" customFormat="false" customHeight="false" hidden="false" ht="15" outlineLevel="0" r="115"/>
    <row collapsed="false" customFormat="false" customHeight="false" hidden="false" ht="14.25" outlineLevel="0" r="116"/>
    <row collapsed="false" customFormat="false" customHeight="false" hidden="false" ht="14.25" outlineLevel="0" r="117"/>
    <row collapsed="false" customFormat="false" customHeight="false" hidden="false" ht="14.25" outlineLevel="0" r="118"/>
    <row collapsed="false" customFormat="false" customHeight="false" hidden="false" ht="14.25" outlineLevel="0" r="119"/>
    <row collapsed="false" customFormat="false" customHeight="false" hidden="false" ht="14.25" outlineLevel="0" r="120"/>
    <row collapsed="false" customFormat="false" customHeight="false" hidden="false" ht="14.25" outlineLevel="0" r="121"/>
    <row collapsed="false" customFormat="false" customHeight="false" hidden="false" ht="14.25" outlineLevel="0" r="122"/>
    <row collapsed="false" customFormat="false" customHeight="false" hidden="false" ht="14.25" outlineLevel="0" r="123"/>
    <row collapsed="false" customFormat="false" customHeight="false" hidden="false" ht="14.25" outlineLevel="0" r="124"/>
    <row collapsed="false" customFormat="false" customHeight="false" hidden="false" ht="14.25" outlineLevel="0" r="125"/>
    <row collapsed="false" customFormat="false" customHeight="false" hidden="false" ht="14.25" outlineLevel="0" r="126"/>
    <row collapsed="false" customFormat="false" customHeight="false" hidden="false" ht="14.25" outlineLevel="0" r="127"/>
    <row collapsed="false" customFormat="false" customHeight="false" hidden="false" ht="14.25" outlineLevel="0" r="128"/>
    <row collapsed="false" customFormat="false" customHeight="false" hidden="false" ht="14.25" outlineLevel="0" r="129"/>
    <row collapsed="false" customFormat="false" customHeight="false" hidden="false" ht="14.25" outlineLevel="0" r="130"/>
    <row collapsed="false" customFormat="false" customHeight="false" hidden="false" ht="14.25" outlineLevel="0" r="131"/>
    <row collapsed="false" customFormat="false" customHeight="false" hidden="false" ht="14.25" outlineLevel="0" r="132"/>
    <row collapsed="false" customFormat="false" customHeight="false" hidden="false" ht="14.25" outlineLevel="0" r="133"/>
    <row collapsed="false" customFormat="false" customHeight="false" hidden="false" ht="14.25" outlineLevel="0" r="134"/>
    <row collapsed="false" customFormat="false" customHeight="false" hidden="false" ht="14.25" outlineLevel="0" r="135"/>
    <row collapsed="false" customFormat="false" customHeight="false" hidden="false" ht="14.25" outlineLevel="0" r="136"/>
    <row collapsed="false" customFormat="false" customHeight="false" hidden="false" ht="14.25" outlineLevel="0" r="137"/>
    <row collapsed="false" customFormat="false" customHeight="false" hidden="false" ht="14.25" outlineLevel="0" r="138"/>
    <row collapsed="false" customFormat="false" customHeight="false" hidden="false" ht="14.25" outlineLevel="0" r="139"/>
    <row collapsed="false" customFormat="false" customHeight="false" hidden="false" ht="14.25" outlineLevel="0" r="140"/>
    <row collapsed="false" customFormat="false" customHeight="false" hidden="false" ht="14.25" outlineLevel="0" r="141"/>
    <row collapsed="false" customFormat="false" customHeight="false" hidden="false" ht="14.25" outlineLevel="0" r="142"/>
    <row collapsed="false" customFormat="false" customHeight="false" hidden="false" ht="14.25" outlineLevel="0" r="143"/>
    <row collapsed="false" customFormat="false" customHeight="false" hidden="false" ht="14.25" outlineLevel="0" r="144"/>
    <row collapsed="false" customFormat="false" customHeight="false" hidden="false" ht="14.25" outlineLevel="0" r="145"/>
    <row collapsed="false" customFormat="false" customHeight="false" hidden="false" ht="14.25" outlineLevel="0" r="146"/>
    <row collapsed="false" customFormat="false" customHeight="false" hidden="false" ht="14.25" outlineLevel="0" r="147"/>
    <row collapsed="false" customFormat="false" customHeight="false" hidden="false" ht="14.25" outlineLevel="0" r="148"/>
    <row collapsed="false" customFormat="false" customHeight="false" hidden="false" ht="14.25" outlineLevel="0" r="149"/>
    <row collapsed="false" customFormat="false" customHeight="false" hidden="false" ht="14.25" outlineLevel="0" r="150"/>
    <row collapsed="false" customFormat="false" customHeight="false" hidden="false" ht="14.25" outlineLevel="0" r="151"/>
    <row collapsed="false" customFormat="false" customHeight="false" hidden="false" ht="14.25" outlineLevel="0" r="152"/>
    <row collapsed="false" customFormat="false" customHeight="false" hidden="false" ht="14.25" outlineLevel="0" r="153"/>
    <row collapsed="false" customFormat="false" customHeight="false" hidden="false" ht="14.25" outlineLevel="0" r="154"/>
    <row collapsed="false" customFormat="false" customHeight="false" hidden="false" ht="14.25" outlineLevel="0" r="155"/>
    <row collapsed="false" customFormat="false" customHeight="false" hidden="false" ht="14.25" outlineLevel="0" r="156"/>
    <row collapsed="false" customFormat="false" customHeight="false" hidden="false" ht="14.25" outlineLevel="0" r="157"/>
    <row collapsed="false" customFormat="false" customHeight="false" hidden="false" ht="14.25" outlineLevel="0" r="158"/>
    <row collapsed="false" customFormat="false" customHeight="false" hidden="false" ht="14.25" outlineLevel="0" r="159"/>
    <row collapsed="false" customFormat="false" customHeight="false" hidden="false" ht="14.25" outlineLevel="0" r="160"/>
    <row collapsed="false" customFormat="false" customHeight="false" hidden="false" ht="14.25" outlineLevel="0" r="161"/>
    <row collapsed="false" customFormat="false" customHeight="false" hidden="false" ht="14.25" outlineLevel="0" r="162"/>
    <row collapsed="false" customFormat="false" customHeight="false" hidden="false" ht="14.25" outlineLevel="0" r="163"/>
    <row collapsed="false" customFormat="false" customHeight="false" hidden="false" ht="14.25" outlineLevel="0" r="164"/>
    <row collapsed="false" customFormat="false" customHeight="false" hidden="false" ht="14.25" outlineLevel="0" r="165"/>
    <row collapsed="false" customFormat="false" customHeight="false" hidden="false" ht="14.25" outlineLevel="0" r="166"/>
    <row collapsed="false" customFormat="false" customHeight="false" hidden="false" ht="14.25" outlineLevel="0" r="167"/>
    <row collapsed="false" customFormat="false" customHeight="false" hidden="false" ht="14.25" outlineLevel="0" r="168"/>
    <row collapsed="false" customFormat="false" customHeight="false" hidden="false" ht="14.25" outlineLevel="0" r="169"/>
    <row collapsed="false" customFormat="false" customHeight="false" hidden="false" ht="14.25" outlineLevel="0" r="170"/>
    <row collapsed="false" customFormat="false" customHeight="false" hidden="false" ht="14.25" outlineLevel="0" r="171"/>
    <row collapsed="false" customFormat="false" customHeight="false" hidden="false" ht="14.25" outlineLevel="0" r="172"/>
    <row collapsed="false" customFormat="false" customHeight="false" hidden="false" ht="14.25" outlineLevel="0" r="173"/>
    <row collapsed="false" customFormat="false" customHeight="false" hidden="false" ht="14.25" outlineLevel="0" r="174"/>
    <row collapsed="false" customFormat="false" customHeight="false" hidden="false" ht="14.25" outlineLevel="0" r="175"/>
    <row collapsed="false" customFormat="false" customHeight="false" hidden="false" ht="14.25" outlineLevel="0" r="176"/>
    <row collapsed="false" customFormat="false" customHeight="false" hidden="false" ht="14.25" outlineLevel="0" r="177"/>
    <row collapsed="false" customFormat="false" customHeight="false" hidden="false" ht="14.25" outlineLevel="0" r="178"/>
    <row collapsed="false" customFormat="false" customHeight="false" hidden="false" ht="14.25" outlineLevel="0" r="179"/>
    <row collapsed="false" customFormat="false" customHeight="false" hidden="false" ht="14.25" outlineLevel="0" r="180"/>
    <row collapsed="false" customFormat="false" customHeight="false" hidden="false" ht="14.25" outlineLevel="0" r="181"/>
    <row collapsed="false" customFormat="false" customHeight="false" hidden="false" ht="14.25" outlineLevel="0" r="182"/>
    <row collapsed="false" customFormat="false" customHeight="false" hidden="false" ht="14.25" outlineLevel="0" r="183"/>
    <row collapsed="false" customFormat="false" customHeight="false" hidden="false" ht="14.25" outlineLevel="0" r="184"/>
    <row collapsed="false" customFormat="false" customHeight="false" hidden="false" ht="14.25" outlineLevel="0" r="185"/>
    <row collapsed="false" customFormat="false" customHeight="false" hidden="false" ht="14.25" outlineLevel="0" r="186"/>
    <row collapsed="false" customFormat="false" customHeight="false" hidden="false" ht="14.25" outlineLevel="0" r="187"/>
    <row collapsed="false" customFormat="false" customHeight="false" hidden="false" ht="14.25" outlineLevel="0" r="188"/>
    <row collapsed="false" customFormat="false" customHeight="false" hidden="false" ht="14.25" outlineLevel="0" r="189"/>
    <row collapsed="false" customFormat="false" customHeight="false" hidden="false" ht="14.25" outlineLevel="0" r="190"/>
    <row collapsed="false" customFormat="false" customHeight="false" hidden="false" ht="14.25" outlineLevel="0" r="191"/>
    <row collapsed="false" customFormat="false" customHeight="false" hidden="false" ht="14.25" outlineLevel="0" r="192"/>
    <row collapsed="false" customFormat="false" customHeight="false" hidden="false" ht="14.25" outlineLevel="0" r="193"/>
    <row collapsed="false" customFormat="false" customHeight="false" hidden="false" ht="14.25" outlineLevel="0" r="194"/>
    <row collapsed="false" customFormat="false" customHeight="false" hidden="false" ht="14.25" outlineLevel="0" r="195"/>
    <row collapsed="false" customFormat="false" customHeight="false" hidden="false" ht="14.25" outlineLevel="0" r="196"/>
    <row collapsed="false" customFormat="false" customHeight="false" hidden="false" ht="14.25" outlineLevel="0" r="197"/>
    <row collapsed="false" customFormat="false" customHeight="false" hidden="false" ht="14.25" outlineLevel="0" r="198"/>
    <row collapsed="false" customFormat="false" customHeight="false" hidden="false" ht="14.25" outlineLevel="0" r="199"/>
    <row collapsed="false" customFormat="false" customHeight="false" hidden="false" ht="14.25" outlineLevel="0" r="200"/>
    <row collapsed="false" customFormat="false" customHeight="false" hidden="false" ht="14.25" outlineLevel="0" r="201"/>
    <row collapsed="false" customFormat="false" customHeight="false" hidden="false" ht="14.25" outlineLevel="0" r="202"/>
    <row collapsed="false" customFormat="false" customHeight="false" hidden="false" ht="14.25" outlineLevel="0" r="203"/>
    <row collapsed="false" customFormat="false" customHeight="false" hidden="false" ht="14.25" outlineLevel="0" r="204"/>
    <row collapsed="false" customFormat="false" customHeight="false" hidden="false" ht="14.25" outlineLevel="0" r="205"/>
    <row collapsed="false" customFormat="false" customHeight="false" hidden="false" ht="14.25" outlineLevel="0" r="206"/>
    <row collapsed="false" customFormat="false" customHeight="false" hidden="false" ht="14.25" outlineLevel="0" r="207"/>
    <row collapsed="false" customFormat="false" customHeight="false" hidden="false" ht="14.25" outlineLevel="0" r="208"/>
    <row collapsed="false" customFormat="false" customHeight="false" hidden="false" ht="14.25" outlineLevel="0" r="209"/>
    <row collapsed="false" customFormat="false" customHeight="false" hidden="false" ht="14.25" outlineLevel="0" r="210"/>
    <row collapsed="false" customFormat="false" customHeight="false" hidden="false" ht="14.25" outlineLevel="0" r="211"/>
    <row collapsed="false" customFormat="false" customHeight="false" hidden="false" ht="14.25" outlineLevel="0" r="212"/>
    <row collapsed="false" customFormat="false" customHeight="false" hidden="false" ht="14.25" outlineLevel="0" r="213"/>
    <row collapsed="false" customFormat="false" customHeight="false" hidden="false" ht="14.25" outlineLevel="0" r="214"/>
    <row collapsed="false" customFormat="false" customHeight="false" hidden="false" ht="14.25" outlineLevel="0" r="215"/>
    <row collapsed="false" customFormat="false" customHeight="false" hidden="false" ht="14.25" outlineLevel="0" r="216"/>
    <row collapsed="false" customFormat="false" customHeight="false" hidden="false" ht="14.25" outlineLevel="0" r="217"/>
    <row collapsed="false" customFormat="false" customHeight="false" hidden="false" ht="14.25" outlineLevel="0" r="218"/>
    <row collapsed="false" customFormat="false" customHeight="false" hidden="false" ht="14.25" outlineLevel="0" r="219"/>
    <row collapsed="false" customFormat="false" customHeight="false" hidden="false" ht="14.25" outlineLevel="0" r="220"/>
    <row collapsed="false" customFormat="false" customHeight="false" hidden="false" ht="14.25" outlineLevel="0" r="221"/>
    <row collapsed="false" customFormat="false" customHeight="false" hidden="false" ht="14.25" outlineLevel="0" r="222"/>
    <row collapsed="false" customFormat="false" customHeight="false" hidden="false" ht="14.25" outlineLevel="0" r="223"/>
    <row collapsed="false" customFormat="false" customHeight="false" hidden="false" ht="14.25" outlineLevel="0" r="224"/>
    <row collapsed="false" customFormat="false" customHeight="false" hidden="false" ht="14.25" outlineLevel="0" r="225"/>
    <row collapsed="false" customFormat="false" customHeight="false" hidden="false" ht="14.25" outlineLevel="0" r="226"/>
    <row collapsed="false" customFormat="false" customHeight="false" hidden="false" ht="14.25" outlineLevel="0" r="227"/>
    <row collapsed="false" customFormat="false" customHeight="false" hidden="false" ht="14.25" outlineLevel="0" r="228"/>
    <row collapsed="false" customFormat="false" customHeight="false" hidden="false" ht="14.25" outlineLevel="0" r="229"/>
    <row collapsed="false" customFormat="false" customHeight="false" hidden="false" ht="14.25" outlineLevel="0" r="230"/>
    <row collapsed="false" customFormat="false" customHeight="false" hidden="false" ht="14.25" outlineLevel="0" r="231"/>
    <row collapsed="false" customFormat="false" customHeight="false" hidden="false" ht="15" outlineLevel="0" r="232"/>
    <row collapsed="false" customFormat="false" customHeight="false" hidden="false" ht="15" outlineLevel="0" r="233"/>
    <row collapsed="false" customFormat="false" customHeight="false" hidden="false" ht="15" outlineLevel="0" r="234"/>
    <row collapsed="false" customFormat="false" customHeight="false" hidden="false" ht="15" outlineLevel="0" r="235"/>
    <row collapsed="false" customFormat="false" customHeight="false" hidden="false" ht="15" outlineLevel="0" r="236"/>
    <row collapsed="false" customFormat="false" customHeight="false" hidden="false" ht="15" outlineLevel="0" r="237"/>
    <row collapsed="false" customFormat="false" customHeight="false" hidden="false" ht="15" outlineLevel="0" r="238"/>
    <row collapsed="false" customFormat="false" customHeight="false" hidden="false" ht="15" outlineLevel="0" r="239"/>
    <row collapsed="false" customFormat="false" customHeight="false" hidden="false" ht="15" outlineLevel="0" r="240"/>
    <row collapsed="false" customFormat="false" customHeight="false" hidden="false" ht="15" outlineLevel="0" r="241"/>
    <row collapsed="false" customFormat="false" customHeight="false" hidden="false" ht="15" outlineLevel="0" r="242"/>
    <row collapsed="false" customFormat="false" customHeight="false" hidden="false" ht="15" outlineLevel="0" r="243"/>
    <row collapsed="false" customFormat="false" customHeight="false" hidden="false" ht="15" outlineLevel="0" r="244"/>
    <row collapsed="false" customFormat="false" customHeight="false" hidden="false" ht="14.25" outlineLevel="0" r="245"/>
    <row collapsed="false" customFormat="false" customHeight="false" hidden="false" ht="14.25" outlineLevel="0" r="246"/>
  </sheetData>
  <printOptions headings="false" gridLines="false" gridLinesSet="true" horizontalCentered="false" verticalCentered="false"/>
  <pageMargins left="0.75" right="0.75" top="1" bottom="1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LibreOffice/4.0.2.2$Windows_x86 LibreOffice_project/4c82dcdd6efcd48b1d8bba66bfe1989deee49c3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2001-05-05T07:29:47.00Z</dcterms:created>
  <dc:creator>Bruno Veström</dc:creator>
  <cp:lastPrinted>2004-10-17T12:05:37.00Z</cp:lastPrinted>
  <dcterms:modified xsi:type="dcterms:W3CDTF">2013-04-11T21:17:24.22Z</dcterms:modified>
  <cp:revision>0</cp:revision>
</cp:coreProperties>
</file>